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READ FIRST" sheetId="1" state="visible" r:id="rId3"/>
    <sheet name="Summary" sheetId="2" state="visible" r:id="rId4"/>
    <sheet name="Assumptions" sheetId="3" state="visible" r:id="rId5"/>
    <sheet name="Project Economics" sheetId="4" state="visible" r:id="rId6"/>
    <sheet name="Project Cash Flows" sheetId="5" state="visible" r:id="rId7"/>
    <sheet name="Income Statement" sheetId="6" state="visible" r:id="rId8"/>
    <sheet name="Debt Schedule" sheetId="7" state="visible" r:id="rId9"/>
    <sheet name="Cash Flow Statement" sheetId="8" state="visible" r:id="rId10"/>
    <sheet name="Balance Sheet" sheetId="9" state="visible" r:id="rId11"/>
    <sheet name="Valuation" sheetId="10" state="visible" r:id="rId12"/>
    <sheet name="Monte Carlo" sheetId="11" state="visible" r:id="rId13"/>
    <sheet name="Sensitivity" sheetId="12" state="visible" r:id="rId14"/>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<sst xmlns="http://schemas.openxmlformats.org/spreadsheetml/2006/main" count="1001" uniqueCount="360">
  <si>
    <t xml:space="preserve">READ FIRST — DISCLOSURE &amp; DISCLAIMER · PHDC VALUATION MODEL (EDUCATIONAL)</t>
  </si>
  <si>
    <t xml:space="preserve">NATURE OF THIS WORKBOOK</t>
  </si>
  <si>
    <t xml:space="preserve">This workbook is an educational valuation model and an expression of the preparer’s personal analytical opinion, built exclusively from publicly available information and from assumptions stated on the Assumptions sheet. It is shared free of charge so that its methodology can be examined, stress-tested and critiqued — you are invited to change the assumptions and see how the outputs respond.</t>
  </si>
  <si>
    <t xml:space="preserve">NO ADVICE, NO RECOMMENDATION, NO SOLICITATION</t>
  </si>
  <si>
    <t xml:space="preserve">Nothing in this workbook constitutes investment advice, financial consultancy, securities analysis services, a research recommendation, a rating, a price target, an offer, or a solicitation or invitation to buy, sell, hold, subscribe for or otherwise deal in any security or financial instrument. No output is directed at, or calibrated to, the investment objectives, financial situation, risk tolerance or particular needs of any person.</t>
  </si>
  <si>
    <t xml:space="preserve">NO LICENSED ACTIVITY</t>
  </si>
  <si>
    <t xml:space="preserve">The preparer is not licensed or registered with the Egyptian Financial Regulatory Authority (FRA) or any other securities regulator; does not carry on financial consultancy, securities evaluation or analysis services, portfolio management, brokerage, promotion or any other regulated activity; does not manage money; and does not accept clients, fees, subscriptions or funds of any kind.</t>
  </si>
  <si>
    <t xml:space="preserve">POSITION DISCLOSURE</t>
  </si>
  <si>
    <t xml:space="preserve">The preparer holds a long position in PHDC, may hold positions in other instruments mentioned, and may increase, decrease or close any position at any time without notice. This workbook was prepared and published independently of any trading activity, on a pre-set schedule, and must not be used to influence the market price of any security.</t>
  </si>
  <si>
    <t xml:space="preserve">ESTIMATES AND UNCERTAINTY</t>
  </si>
  <si>
    <t xml:space="preserve">All values are model outputs resting on explicit, subjective assumptions; they are illustrative, highly uncertain, and likely to prove wrong in material respects. Outputs are ranges and distributions because no single number should be relied on. Public and vendor-sourced data are believed reliable but are not guaranteed.</t>
  </si>
  <si>
    <t xml:space="preserve">NO LIABILITY</t>
  </si>
  <si>
    <t xml:space="preserve">To the maximum extent permitted by applicable law, the preparer accepts no liability or responsibility whatsoever for any decision made or action taken or not taken, or for any loss or damage of any kind incurred, by any person in reliance on, or in connection with, any part of this workbook.</t>
  </si>
  <si>
    <t xml:space="preserve">READER’S RESPONSIBILITY</t>
  </si>
  <si>
    <t xml:space="preserve">Any person considering an investment decision should conduct their own independent assessment and consult a financial advisor licensed in their jurisdiction. If the publication of material of this kind is restricted where you are reading it, do not rely on it.</t>
  </si>
  <si>
    <t xml:space="preserve">HOW TO USE THIS MODEL</t>
  </si>
  <si>
    <t xml:space="preserve">Blue cells are hardcoded inputs you can overwrite (assumptions and market-calibrated estimates). Black cells are same-sheet formulas; green cells link across sheets. The three statements tie out (Balance Sheet check = 0). Rows marked “engine” on the Monte Carlo sheet are outputs of an external 50,000-path simulation and do NOT recalculate in-sheet — the live closed-form rows beside them respond to factor changes. Suggested critique workflow: change WACC, price escalation, sold/unsold splits or execution probabilities on the Assumptions sheet, then watch the Valuation sheet re-price. If you find an error or a better-founded assumption, say so — that is the point of sharing it.</t>
  </si>
  <si>
    <t xml:space="preserve">PALM HILLS DEVELOPMENTS (EGX:PHDC) — CLEAN-SHEET BOTTOM-UP VALUATION</t>
  </si>
  <si>
    <t xml:space="preserve">Independent build: project-by-project unit economics → consolidated 3 statements → unlevered DCF. No external target embedded.  EDUCATIONAL MODEL — personal analytical opinion, not investment advice; preparer holds a position in PHDC. Read the READ FIRST sheet before use.</t>
  </si>
  <si>
    <t xml:space="preserve">HEADLINE — VALUE PER SHARE (EGP)</t>
  </si>
  <si>
    <t xml:space="preserve">Gross (full execution)</t>
  </si>
  <si>
    <t xml:space="preserve">Risk-adjusted (execution-weighted)</t>
  </si>
  <si>
    <t xml:space="preserve">Memo: current market price (8-Jun-26)</t>
  </si>
  <si>
    <t xml:space="preserve">Implied vs market — gross / risk-adj</t>
  </si>
  <si>
    <t xml:space="preserve">WHAT THE NUMBER RESTS ON (edit on Assumptions)</t>
  </si>
  <si>
    <t xml:space="preserve">WACC (nominal EGP) — single biggest lever</t>
  </si>
  <si>
    <t xml:space="preserve">Down-payment / collection speed</t>
  </si>
  <si>
    <t xml:space="preserve">Sales-price escalation p.a.</t>
  </si>
  <si>
    <t xml:space="preserve">Net debt (EGP bn)</t>
  </si>
  <si>
    <t xml:space="preserve">Peak modelled debt (EGP bn)</t>
  </si>
  <si>
    <t xml:space="preserve">Life revenue / net income (EGP bn)</t>
  </si>
  <si>
    <t xml:space="preserve">METHODOLOGY</t>
  </si>
  <si>
    <t xml:space="preserve">•  Full portfolio: 15 projects (incl. Jirian, PH New Cairo, 97 Hills, Village de la Capitale, Alamein, Capital Gardens) plus a legacy-Cairo bucket and the sold backlog.</t>
  </si>
  <si>
    <t xml:space="preserve">•  Each project is the UNSOLD remainder only — already-sold units sit in the EGP 263bn backlog, so nothing is double-counted.</t>
  </si>
  <si>
    <t xml:space="preserve">•  Construction paced to PHDC's actual run-rate (~EGP 14-20bn, rising): staggered launches, multi-year builds, backlog spread over 7 years. FCFF is positive throughout.</t>
  </si>
  <si>
    <t xml:space="preserve">•  Each project = units × price/m² and m² × construction-cost/m²; owned land is sunk (book cost in COGS, no future cash); Ras El-Hekma JVs carry partner land so PHDC earns a developer margin.</t>
  </si>
  <si>
    <t xml:space="preserve">•  Terminal value: 5% perpetual growth (Gordon) on a normalized sustainable FCFF, discounted back ~ to a modest 6% of EV given the 18% WACC.</t>
  </si>
  <si>
    <t xml:space="preserve">•  Statements tie: IS -&gt; Debt -&gt; CF -&gt; Balance Sheet (check = 0). Valuation = unlevered FCFF + TV, discounted at WACC, less net debt; execution probabilities give the risk-adjusted figure.</t>
  </si>
  <si>
    <t xml:space="preserve">•  Every blue cell is a market-calibrated estimate you can overwrite.</t>
  </si>
  <si>
    <t xml:space="preserve">•  Companion Monte Carlo (sheet 'Monte Carlo'): ONE 10-factor macro simulation — 5 continuous + 5 event factors, 50,000 paths; percentiles live via lognormal moments, engine-exact values alongside. Matches the research report section 3.</t>
  </si>
  <si>
    <t xml:space="preserve">PALM HILLS DEVELOPMENTS — BOTTOM-UP VALUATION MODEL</t>
  </si>
  <si>
    <t xml:space="preserve">All blue cells are inputs. Clean-sheet build; no external price target embedded. EGP unless noted.  Educational model — not investment advice; see READ FIRST sheet.</t>
  </si>
  <si>
    <t xml:space="preserve">GLOBAL &amp; CORPORATE ASSUMPTIONS</t>
  </si>
  <si>
    <t xml:space="preserve">Shares outstanding (bn)</t>
  </si>
  <si>
    <t xml:space="preserve">Gross debt — opening (EGP bn)</t>
  </si>
  <si>
    <t xml:space="preserve">Cash — opening (EGP bn)</t>
  </si>
  <si>
    <t xml:space="preserve">Book equity — opening (EGP bn)</t>
  </si>
  <si>
    <t xml:space="preserve">Total assets — opening (EGP bn)</t>
  </si>
  <si>
    <t xml:space="preserve">WACC (nominal EGP)</t>
  </si>
  <si>
    <t xml:space="preserve">Tax rate</t>
  </si>
  <si>
    <t xml:space="preserve">Cost of debt</t>
  </si>
  <si>
    <t xml:space="preserve">Down-payment at contract</t>
  </si>
  <si>
    <t xml:space="preserve">Collected during build (share)</t>
  </si>
  <si>
    <t xml:space="preserve">Installment tenor (yrs)</t>
  </si>
  <si>
    <t xml:space="preserve">Post-handover tail (yrs)</t>
  </si>
  <si>
    <t xml:space="preserve">Corporate overhead (% revenue)</t>
  </si>
  <si>
    <t xml:space="preserve">D&amp;A (% revenue)</t>
  </si>
  <si>
    <t xml:space="preserve">Minimum cash (EGP bn)</t>
  </si>
  <si>
    <t xml:space="preserve">Terminal value growth (g)</t>
  </si>
  <si>
    <t xml:space="preserve">Normalized terminal FCFF (EGP bn)</t>
  </si>
  <si>
    <t xml:space="preserve">Opening inventory: land+WIP (EGP bn)</t>
  </si>
  <si>
    <t xml:space="preserve">Opening net contract position (EGP bn)</t>
  </si>
  <si>
    <t xml:space="preserve">Opening other assets (EGP bn)</t>
  </si>
  <si>
    <t xml:space="preserve">Opening payables (EGP bn)</t>
  </si>
  <si>
    <t xml:space="preserve">PER-PROJECT STRUCTURAL ASSUMPTIONS</t>
  </si>
  <si>
    <t xml:space="preserve">Project</t>
  </si>
  <si>
    <t xml:space="preserve">Location</t>
  </si>
  <si>
    <t xml:space="preserve">Land (mn m²)</t>
  </si>
  <si>
    <t xml:space="preserve">Buildable %</t>
  </si>
  <si>
    <t xml:space="preserve">Land EGP/m²</t>
  </si>
  <si>
    <t xml:space="preserve">SG&amp;A %</t>
  </si>
  <si>
    <t xml:space="preserve">PHDC share %</t>
  </si>
  <si>
    <t xml:space="preserve">Launch</t>
  </si>
  <si>
    <t xml:space="preserve">Sell yrs</t>
  </si>
  <si>
    <t xml:space="preserve">Build yrs</t>
  </si>
  <si>
    <t xml:space="preserve">Exec prob</t>
  </si>
  <si>
    <t xml:space="preserve">Sold %</t>
  </si>
  <si>
    <t xml:space="preserve">Badya</t>
  </si>
  <si>
    <t xml:space="preserve">6 October</t>
  </si>
  <si>
    <t xml:space="preserve">Crown</t>
  </si>
  <si>
    <t xml:space="preserve">Jirian</t>
  </si>
  <si>
    <t xml:space="preserve">Sheikh Zayed (Nile)</t>
  </si>
  <si>
    <t xml:space="preserve">97 Hills</t>
  </si>
  <si>
    <t xml:space="preserve">New Giza / W Cairo</t>
  </si>
  <si>
    <t xml:space="preserve">PH New Cairo</t>
  </si>
  <si>
    <t xml:space="preserve">New Cairo</t>
  </si>
  <si>
    <t xml:space="preserve">Capital Gardens</t>
  </si>
  <si>
    <t xml:space="preserve">Mostakbal City</t>
  </si>
  <si>
    <t xml:space="preserve">Village de la Capitale</t>
  </si>
  <si>
    <t xml:space="preserve">New Capital</t>
  </si>
  <si>
    <t xml:space="preserve">Hacienda (N Coast)</t>
  </si>
  <si>
    <t xml:space="preserve">North Coast</t>
  </si>
  <si>
    <t xml:space="preserve">PH New Alamein</t>
  </si>
  <si>
    <t xml:space="preserve">New Alamein</t>
  </si>
  <si>
    <t xml:space="preserve">Laguna (Sokhna)</t>
  </si>
  <si>
    <t xml:space="preserve">Ain Sokhna</t>
  </si>
  <si>
    <t xml:space="preserve">Legacy Cairo inventory</t>
  </si>
  <si>
    <t xml:space="preserve">Cairo / Alex / Sahl Hasheesh</t>
  </si>
  <si>
    <t xml:space="preserve">Miran (RH JV)</t>
  </si>
  <si>
    <t xml:space="preserve">Ras El-Hekma</t>
  </si>
  <si>
    <t xml:space="preserve">Modon (RH JV)</t>
  </si>
  <si>
    <t xml:space="preserve">Saadiyat (Abu Dhabi)</t>
  </si>
  <si>
    <t xml:space="preserve">Abu Dhabi</t>
  </si>
  <si>
    <t xml:space="preserve">Landbank (undeveloped)</t>
  </si>
  <si>
    <t xml:space="preserve">Mixed</t>
  </si>
  <si>
    <t xml:space="preserve">BACKLOG (units sold, not yet delivered)</t>
  </si>
  <si>
    <t xml:space="preserve">Contracted value (EGP bn)</t>
  </si>
  <si>
    <t xml:space="preserve">Gross margin</t>
  </si>
  <si>
    <t xml:space="preserve">% still to collect</t>
  </si>
  <si>
    <t xml:space="preserve">Delivery period (yrs)</t>
  </si>
  <si>
    <t xml:space="preserve">Build period (yrs)</t>
  </si>
  <si>
    <t xml:space="preserve">Remaining construction cash %</t>
  </si>
  <si>
    <t xml:space="preserve">PER-PROJECT UNIT MIX &amp; PRICING (current 2026 prices)</t>
  </si>
  <si>
    <t xml:space="preserve">Unit type</t>
  </si>
  <si>
    <t xml:space="preserve">BUA share %</t>
  </si>
  <si>
    <t xml:space="preserve">Avg area (m²)</t>
  </si>
  <si>
    <t xml:space="preserve">Price EGP/m²</t>
  </si>
  <si>
    <t xml:space="preserve">Constr cost EGP/m²</t>
  </si>
  <si>
    <t xml:space="preserve">Apartment</t>
  </si>
  <si>
    <t xml:space="preserve">Townhouse/Twin</t>
  </si>
  <si>
    <t xml:space="preserve">Villa</t>
  </si>
  <si>
    <t xml:space="preserve">Family/Town</t>
  </si>
  <si>
    <t xml:space="preserve">Twin</t>
  </si>
  <si>
    <t xml:space="preserve">Chalet</t>
  </si>
  <si>
    <t xml:space="preserve">Townhouse</t>
  </si>
  <si>
    <t xml:space="preserve">PROJECT ECONOMICS — BOTTOM-UP (units × price ; m² × cost/m²)</t>
  </si>
  <si>
    <t xml:space="preserve">Live formulas off Assumptions. PHDC economic share applied to value, construction and land.</t>
  </si>
  <si>
    <t xml:space="preserve">Badya  —  6 October</t>
  </si>
  <si>
    <t xml:space="preserve"># Units</t>
  </si>
  <si>
    <t xml:space="preserve">Avg area m²</t>
  </si>
  <si>
    <t xml:space="preserve">Sellable m²</t>
  </si>
  <si>
    <t xml:space="preserve">Gross value EGPbn</t>
  </si>
  <si>
    <t xml:space="preserve">Constr EGP/m²</t>
  </si>
  <si>
    <t xml:space="preserve">Constr cost EGPbn</t>
  </si>
  <si>
    <t xml:space="preserve">Subtotal (100%)</t>
  </si>
  <si>
    <t xml:space="preserve">Land (unsold portion)</t>
  </si>
  <si>
    <t xml:space="preserve">PHDC economic share</t>
  </si>
  <si>
    <t xml:space="preserve">PHDC revenue (GDV)</t>
  </si>
  <si>
    <t xml:space="preserve">PHDC constr</t>
  </si>
  <si>
    <t xml:space="preserve">PHDC land cost</t>
  </si>
  <si>
    <t xml:space="preserve">PHDC gross profit</t>
  </si>
  <si>
    <t xml:space="preserve">margin</t>
  </si>
  <si>
    <t xml:space="preserve">Crown  —  6 October</t>
  </si>
  <si>
    <t xml:space="preserve">Jirian  —  Sheikh Zayed (Nile)</t>
  </si>
  <si>
    <t xml:space="preserve">97 Hills  —  New Giza / W Cairo</t>
  </si>
  <si>
    <t xml:space="preserve">PH New Cairo  —  New Cairo</t>
  </si>
  <si>
    <t xml:space="preserve">Capital Gardens  —  Mostakbal City</t>
  </si>
  <si>
    <t xml:space="preserve">Village de la Capitale  —  New Capital</t>
  </si>
  <si>
    <t xml:space="preserve">Hacienda (N Coast)  —  North Coast</t>
  </si>
  <si>
    <t xml:space="preserve">PH New Alamein  —  New Alamein</t>
  </si>
  <si>
    <t xml:space="preserve">Laguna (Sokhna)  —  Ain Sokhna</t>
  </si>
  <si>
    <t xml:space="preserve">Legacy Cairo inventory  —  Cairo / Alex / Sahl Hasheesh</t>
  </si>
  <si>
    <t xml:space="preserve">Miran (RH JV)  —  Ras El-Hekma</t>
  </si>
  <si>
    <t xml:space="preserve">Modon (RH JV)  —  Ras El-Hekma</t>
  </si>
  <si>
    <t xml:space="preserve">Saadiyat (Abu Dhabi)  —  Abu Dhabi</t>
  </si>
  <si>
    <t xml:space="preserve">Landbank (undeveloped)  —  Mixed</t>
  </si>
  <si>
    <t xml:space="preserve">PROJECT CASH FLOWS — annual, EGP bn (PHDC share)</t>
  </si>
  <si>
    <t xml:space="preserve">Phased by the model engine from Assumptions (sales escalate; collections = down + during-build + tail; revenue over build). Totals are live sums.</t>
  </si>
  <si>
    <t xml:space="preserve">CONSOLIDATED TOTALS (EGP bn)</t>
  </si>
  <si>
    <t xml:space="preserve">EGP bn</t>
  </si>
  <si>
    <t xml:space="preserve">2026</t>
  </si>
  <si>
    <t xml:space="preserve">2027</t>
  </si>
  <si>
    <t xml:space="preserve">2028</t>
  </si>
  <si>
    <t xml:space="preserve">2029</t>
  </si>
  <si>
    <t xml:space="preserve">2030</t>
  </si>
  <si>
    <t xml:space="preserve">2031</t>
  </si>
  <si>
    <t xml:space="preserve">2032</t>
  </si>
  <si>
    <t xml:space="preserve">2033</t>
  </si>
  <si>
    <t xml:space="preserve">2034</t>
  </si>
  <si>
    <t xml:space="preserve">2035</t>
  </si>
  <si>
    <t xml:space="preserve">2036</t>
  </si>
  <si>
    <t xml:space="preserve">2037</t>
  </si>
  <si>
    <t xml:space="preserve">2038</t>
  </si>
  <si>
    <t xml:space="preserve">2039</t>
  </si>
  <si>
    <t xml:space="preserve">2040</t>
  </si>
  <si>
    <t xml:space="preserve">2041</t>
  </si>
  <si>
    <t xml:space="preserve">2042</t>
  </si>
  <si>
    <t xml:space="preserve">2043</t>
  </si>
  <si>
    <t xml:space="preserve">2044</t>
  </si>
  <si>
    <t xml:space="preserve">2045</t>
  </si>
  <si>
    <t xml:space="preserve">2046</t>
  </si>
  <si>
    <t xml:space="preserve">2047</t>
  </si>
  <si>
    <t xml:space="preserve">2048</t>
  </si>
  <si>
    <t xml:space="preserve">New sales</t>
  </si>
  <si>
    <t xml:space="preserve">Collections</t>
  </si>
  <si>
    <t xml:space="preserve">Revenue recognized</t>
  </si>
  <si>
    <t xml:space="preserve">COGS</t>
  </si>
  <si>
    <t xml:space="preserve">Construction cash</t>
  </si>
  <si>
    <t xml:space="preserve">Land cash</t>
  </si>
  <si>
    <t xml:space="preserve">Per-project detail (engine output; edit Assumptions then re-run engine to refresh):</t>
  </si>
  <si>
    <t xml:space="preserve">SG&amp;A</t>
  </si>
  <si>
    <t xml:space="preserve">Backlog</t>
  </si>
  <si>
    <t xml:space="preserve">CONSOLIDATED INCOME STATEMENT — EGP bn</t>
  </si>
  <si>
    <t xml:space="preserve">POC revenue recognition; interest on opening gross debt; tax on positive PBT.</t>
  </si>
  <si>
    <t xml:space="preserve">Revenue</t>
  </si>
  <si>
    <t xml:space="preserve">Gross profit</t>
  </si>
  <si>
    <t xml:space="preserve">  gross margin</t>
  </si>
  <si>
    <t xml:space="preserve">Corporate overhead</t>
  </si>
  <si>
    <t xml:space="preserve">EBITDA</t>
  </si>
  <si>
    <t xml:space="preserve">  EBITDA margin</t>
  </si>
  <si>
    <t xml:space="preserve">D&amp;A</t>
  </si>
  <si>
    <t xml:space="preserve">EBIT</t>
  </si>
  <si>
    <t xml:space="preserve">  EBIT margin</t>
  </si>
  <si>
    <t xml:space="preserve">Interest expense</t>
  </si>
  <si>
    <t xml:space="preserve">Profit before tax</t>
  </si>
  <si>
    <t xml:space="preserve">Tax</t>
  </si>
  <si>
    <t xml:space="preserve">Net income</t>
  </si>
  <si>
    <t xml:space="preserve">  net margin</t>
  </si>
  <si>
    <t xml:space="preserve">DEBT &amp; INTEREST SCHEDULE — EGP bn</t>
  </si>
  <si>
    <t xml:space="preserve">Revolver funds cash deficits to a minimum-cash floor; interest on opening balance (no circularity).</t>
  </si>
  <si>
    <t xml:space="preserve">Beginning debt</t>
  </si>
  <si>
    <t xml:space="preserve">Construction</t>
  </si>
  <si>
    <t xml:space="preserve">Land</t>
  </si>
  <si>
    <t xml:space="preserve">Capex</t>
  </si>
  <si>
    <t xml:space="preserve">Tax paid</t>
  </si>
  <si>
    <t xml:space="preserve">Interest paid</t>
  </si>
  <si>
    <t xml:space="preserve">Pre-financing cash flow</t>
  </si>
  <si>
    <t xml:space="preserve">Beginning cash</t>
  </si>
  <si>
    <t xml:space="preserve">Cash before financing</t>
  </si>
  <si>
    <t xml:space="preserve">Draw / (repay)</t>
  </si>
  <si>
    <t xml:space="preserve">Ending debt</t>
  </si>
  <si>
    <t xml:space="preserve">Ending cash</t>
  </si>
  <si>
    <t xml:space="preserve">CONSOLIDATED CASH FLOW STATEMENT — EGP bn</t>
  </si>
  <si>
    <t xml:space="preserve">Cash basis; ties to Debt Schedule and Balance Sheet.</t>
  </si>
  <si>
    <t xml:space="preserve">Collections from customers</t>
  </si>
  <si>
    <t xml:space="preserve">Construction spend</t>
  </si>
  <si>
    <t xml:space="preserve">Land spend</t>
  </si>
  <si>
    <t xml:space="preserve">Cash flow from operations</t>
  </si>
  <si>
    <t xml:space="preserve">Cash flow from investing</t>
  </si>
  <si>
    <t xml:space="preserve">Debt draw / (repay)</t>
  </si>
  <si>
    <t xml:space="preserve">Cash flow from financing</t>
  </si>
  <si>
    <t xml:space="preserve">Net change in cash</t>
  </si>
  <si>
    <t xml:space="preserve">Balance check (=0)</t>
  </si>
  <si>
    <t xml:space="preserve">CONSOLIDATED BALANCE SHEET — EGP bn</t>
  </si>
  <si>
    <t xml:space="preserve">Opening composition illustrative (disclosed totals are firm). Identity holds: capex=D&amp;A, inventory &amp; contract rolled.</t>
  </si>
  <si>
    <t xml:space="preserve">ASSETS</t>
  </si>
  <si>
    <t xml:space="preserve">Cash</t>
  </si>
  <si>
    <t xml:space="preserve">Trade &amp; instalment receivables</t>
  </si>
  <si>
    <t xml:space="preserve">Inventory (land + WIP)</t>
  </si>
  <si>
    <t xml:space="preserve">Other assets</t>
  </si>
  <si>
    <t xml:space="preserve">Total assets</t>
  </si>
  <si>
    <t xml:space="preserve">LIABILITIES</t>
  </si>
  <si>
    <t xml:space="preserve">Debt</t>
  </si>
  <si>
    <t xml:space="preserve">Customer advances (deferred rev)</t>
  </si>
  <si>
    <t xml:space="preserve">Payables</t>
  </si>
  <si>
    <t xml:space="preserve">Other liabilities</t>
  </si>
  <si>
    <t xml:space="preserve">Total liabilities</t>
  </si>
  <si>
    <t xml:space="preserve">EQUITY</t>
  </si>
  <si>
    <t xml:space="preserve">Share capital + retained earnings</t>
  </si>
  <si>
    <t xml:space="preserve">Total equity</t>
  </si>
  <si>
    <t xml:space="preserve">Total liabilities &amp; equity</t>
  </si>
  <si>
    <t xml:space="preserve">(helper calculations)</t>
  </si>
  <si>
    <t xml:space="preserve">_cumRev</t>
  </si>
  <si>
    <t xml:space="preserve">_cumColl</t>
  </si>
  <si>
    <t xml:space="preserve">_NetContract</t>
  </si>
  <si>
    <t xml:space="preserve">_Inventory</t>
  </si>
  <si>
    <t xml:space="preserve">VALUATION — CLEAN-SHEET FCFF DCF</t>
  </si>
  <si>
    <t xml:space="preserve">Unlevered free cash flow to the firm, discounted at WACC. Flex WACC / net debt (yellow) to re-price live.</t>
  </si>
  <si>
    <t xml:space="preserve">Unlevered FCFF</t>
  </si>
  <si>
    <t xml:space="preserve">Discount factor @ WACC</t>
  </si>
  <si>
    <t xml:space="preserve">PV of FCFF</t>
  </si>
  <si>
    <t xml:space="preserve">PV of explicit FCFF (Σ)</t>
  </si>
  <si>
    <t xml:space="preserve">(+) Terminal value (5% g, Gordon)</t>
  </si>
  <si>
    <t xml:space="preserve">(–) Net debt</t>
  </si>
  <si>
    <t xml:space="preserve">Equity value — GROSS (EGP bn)</t>
  </si>
  <si>
    <t xml:space="preserve">VALUE PER SHARE — GROSS (EGP)</t>
  </si>
  <si>
    <t xml:space="preserve">PER-PROJECT VALUE BRIDGE  (at base WACC; applies execution probability)</t>
  </si>
  <si>
    <t xml:space="preserve">EV /share (EGP)</t>
  </si>
  <si>
    <t xml:space="preserve">Execution prob</t>
  </si>
  <si>
    <t xml:space="preserve">Risk-adj /share (EGP)</t>
  </si>
  <si>
    <t xml:space="preserve">Terminal value (5% g)</t>
  </si>
  <si>
    <t xml:space="preserve">Total EV /share</t>
  </si>
  <si>
    <t xml:space="preserve">(–) Net debt /share</t>
  </si>
  <si>
    <t xml:space="preserve">EQUITY /share</t>
  </si>
  <si>
    <t xml:space="preserve">← gross / risk-adjusted</t>
  </si>
  <si>
    <t xml:space="preserve">MONTE CARLO — ONE 10-FACTOR MACRO MODEL (matches the research report, section 3)</t>
  </si>
  <si>
    <t xml:space="preserve">Five continuous factors compound daily; five event factors jump once with stated probability. Blue = your judgment inputs. Percentiles are LIVE (lognormal closed form on the factor moments); the 50,000-path engine values are shown alongside for exactness on path-dependent metrics.</t>
  </si>
  <si>
    <t xml:space="preserve">CORE INPUTS</t>
  </si>
  <si>
    <t xml:space="preserve">Anchor price (EGP, 8 Jun 2026 close)</t>
  </si>
  <si>
    <t xml:space="preserve">Horizon T+20 (sessions)</t>
  </si>
  <si>
    <t xml:space="preserve">Horizon T+60 (sessions)</t>
  </si>
  <si>
    <t xml:space="preserve">Idiosyncratic 3M volatility</t>
  </si>
  <si>
    <t xml:space="preserve">Reference level (EGP)</t>
  </si>
  <si>
    <t xml:space="preserve">R1 resistance (EGP)</t>
  </si>
  <si>
    <t xml:space="preserve">HSBC TP (EGP)</t>
  </si>
  <si>
    <t xml:space="preserve">Structure-break level (EGP)</t>
  </si>
  <si>
    <t xml:space="preserve">Bear-construction boundary (EGP)</t>
  </si>
  <si>
    <t xml:space="preserve">TEN EXTERNAL FACTORS — CALIBRATION (3-month horizon)</t>
  </si>
  <si>
    <t xml:space="preserve">Factor</t>
  </si>
  <si>
    <t xml:space="preserve">Type</t>
  </si>
  <si>
    <t xml:space="preserve">3M drift</t>
  </si>
  <si>
    <t xml:space="preserve">3M vol</t>
  </si>
  <si>
    <t xml:space="preserve">Event prob</t>
  </si>
  <si>
    <t xml:space="preserve">Impact mean</t>
  </si>
  <si>
    <t xml:space="preserve">Impact sd</t>
  </si>
  <si>
    <t xml:space="preserve">Channel</t>
  </si>
  <si>
    <t xml:space="preserve">1  CBE policy rate path</t>
  </si>
  <si>
    <t xml:space="preserve">continuous</t>
  </si>
  <si>
    <t xml:space="preserve">—</t>
  </si>
  <si>
    <t xml:space="preserve">discounting, mortgage cost</t>
  </si>
  <si>
    <t xml:space="preserve">2  EGP/USD exchange rate</t>
  </si>
  <si>
    <t xml:space="preserve">FX translation, USD investors</t>
  </si>
  <si>
    <t xml:space="preserve">3  Inflation (CPI)</t>
  </si>
  <si>
    <t xml:space="preserve">real-asset hedge bid, costs</t>
  </si>
  <si>
    <t xml:space="preserve">4  EGX30 &amp; foreign portfolio flows</t>
  </si>
  <si>
    <t xml:space="preserve">market beta, liquidity</t>
  </si>
  <si>
    <t xml:space="preserve">5  Brent oil / Gulf liquidity</t>
  </si>
  <si>
    <t xml:space="preserve">GCC buyer purchasing power</t>
  </si>
  <si>
    <t xml:space="preserve">6  Geopolitical / regional security</t>
  </si>
  <si>
    <t xml:space="preserve">event</t>
  </si>
  <si>
    <t xml:space="preserve">risk-premium shock</t>
  </si>
  <si>
    <t xml:space="preserve">7  Ras El-Hekma sovereign inflows</t>
  </si>
  <si>
    <t xml:space="preserve">funding &amp; sentiment</t>
  </si>
  <si>
    <t xml:space="preserve">8  Project launch &amp; sales execution</t>
  </si>
  <si>
    <t xml:space="preserve">the summer catalyst</t>
  </si>
  <si>
    <t xml:space="preserve">9  Tourism &amp; North Coast demand</t>
  </si>
  <si>
    <t xml:space="preserve">coastal absorption</t>
  </si>
  <si>
    <t xml:space="preserve">10  Mortgage finance &amp; credit</t>
  </si>
  <si>
    <t xml:space="preserve">affordability, velocity</t>
  </si>
  <si>
    <t xml:space="preserve">FACTOR MOMENTS (live formulas)</t>
  </si>
  <si>
    <t xml:space="preserve">Expected 3M log-return  μ₃M</t>
  </si>
  <si>
    <t xml:space="preserve">3M variance (continuous + idio + events)</t>
  </si>
  <si>
    <t xml:space="preserve">3M volatility  σ₃M</t>
  </si>
  <si>
    <t xml:space="preserve">Annualized volatility (×√4)</t>
  </si>
  <si>
    <t xml:space="preserve">engine: 55.9% — daily-compounding exact</t>
  </si>
  <si>
    <t xml:space="preserve">PERCENTILES (EGP/share) — LIVE lognormal vs 50,000-PATH ENGINE</t>
  </si>
  <si>
    <t xml:space="preserve">Horizon</t>
  </si>
  <si>
    <t xml:space="preserve">5%</t>
  </si>
  <si>
    <t xml:space="preserve">25%</t>
  </si>
  <si>
    <t xml:space="preserve">Median</t>
  </si>
  <si>
    <t xml:space="preserve">75%</t>
  </si>
  <si>
    <t xml:space="preserve">95%</t>
  </si>
  <si>
    <t xml:space="preserve">Source</t>
  </si>
  <si>
    <t xml:space="preserve">T+20 — live (closed form)</t>
  </si>
  <si>
    <t xml:space="preserve">T+20 — engine (simulated)</t>
  </si>
  <si>
    <t xml:space="preserve">mc10.py · 50k paths · seed 42</t>
  </si>
  <si>
    <t xml:space="preserve">T+60 — live (closed form)</t>
  </si>
  <si>
    <t xml:space="preserve">T+60 — engine (simulated)</t>
  </si>
  <si>
    <t xml:space="preserve">Reconciliation — live vs engine T+60 median</t>
  </si>
  <si>
    <t xml:space="preserve">PROBABILITY ZONES at T+60 (live)</t>
  </si>
  <si>
    <t xml:space="preserve">live</t>
  </si>
  <si>
    <t xml:space="preserve">engine</t>
  </si>
  <si>
    <t xml:space="preserve">P(below reference)</t>
  </si>
  <si>
    <t xml:space="preserve">P(reference – R1)</t>
  </si>
  <si>
    <t xml:space="preserve">P(R1 – HSBC)</t>
  </si>
  <si>
    <t xml:space="preserve">P(≥ HSBC 17.50)</t>
  </si>
  <si>
    <t xml:space="preserve">LEVEL-TOUCH PROBABILITIES — P(touch level) — engine only (path-dependent)</t>
  </si>
  <si>
    <t xml:space="preserve">Price level (EGP)</t>
  </si>
  <si>
    <t xml:space="preserve">by T+20</t>
  </si>
  <si>
    <t xml:space="preserve">by T+60</t>
  </si>
  <si>
    <t xml:space="preserve">Downside touch 13.9</t>
  </si>
  <si>
    <t xml:space="preserve">Downside touch 13.4</t>
  </si>
  <si>
    <t xml:space="preserve">Touch probabilities require full paths — re-run the engine after changing factor inputs; live percentiles/zones above update instantly.</t>
  </si>
  <si>
    <t xml:space="preserve">SENSITIVITY — value per share, GROSS (EGP)</t>
  </si>
  <si>
    <t xml:space="preserve">Computed by the model engine across the two dominant levers. Source: bottom-up engine, base case in Assumptions.</t>
  </si>
  <si>
    <t xml:space="preserve">WACC  ×  Down-payment at contract</t>
  </si>
  <si>
    <t xml:space="preserve">Down-payment →</t>
  </si>
  <si>
    <t xml:space="preserve">WACC ↓</t>
  </si>
  <si>
    <t xml:space="preserve">WACC  ×  Selling-price level (×)</t>
  </si>
  <si>
    <t xml:space="preserve">Price level →</t>
  </si>
</sst>
</file>

<file path=xl/styles.xml><?xml version="1.0" encoding="utf-8"?>
<styleSheet xmlns="http://schemas.openxmlformats.org/spreadsheetml/2006/main">
  <numFmts count="12">
    <numFmt numFmtId="164" formatCode="General"/>
    <numFmt numFmtId="165" formatCode="#,##0.00"/>
    <numFmt numFmtId="166" formatCode="0.0%"/>
    <numFmt numFmtId="167" formatCode="#,##0.0;\(#,##0.0\);\-"/>
    <numFmt numFmtId="168" formatCode="#,##0"/>
    <numFmt numFmtId="169" formatCode="0"/>
    <numFmt numFmtId="170" formatCode="0.000"/>
    <numFmt numFmtId="171" formatCode="0.00"/>
    <numFmt numFmtId="172" formatCode="0%"/>
    <numFmt numFmtId="173" formatCode="0.0000"/>
    <numFmt numFmtId="174" formatCode="0.00;[RED]\-0.00"/>
    <numFmt numFmtId="175" formatCode="0.00\x"/>
  </numFmts>
  <fonts count="25">
    <font>
      <sz val="11"/>
      <color theme="1"/>
      <name val="Calibri"/>
      <family val="2"/>
      <charset val="1"/>
    </font>
    <font>
      <sz val="10"/>
      <name val="Arial"/>
      <family val="0"/>
    </font>
    <font>
      <sz val="10"/>
      <name val="Arial"/>
      <family val="0"/>
    </font>
    <font>
      <sz val="10"/>
      <name val="Arial"/>
      <family val="0"/>
    </font>
    <font>
      <b val="true"/>
      <sz val="14"/>
      <color rgb="FFFFFFFF"/>
      <name val="Arial"/>
      <family val="0"/>
      <charset val="1"/>
    </font>
    <font>
      <b val="true"/>
      <sz val="10"/>
      <color rgb="FF1B5E5E"/>
      <name val="Arial"/>
      <family val="0"/>
      <charset val="1"/>
    </font>
    <font>
      <sz val="10"/>
      <color rgb="FF404848"/>
      <name val="Arial"/>
      <family val="0"/>
      <charset val="1"/>
    </font>
    <font>
      <i val="true"/>
      <sz val="9"/>
      <name val="Arial"/>
      <family val="0"/>
      <charset val="1"/>
    </font>
    <font>
      <b val="true"/>
      <sz val="10"/>
      <color rgb="FFFFFFFF"/>
      <name val="Arial"/>
      <family val="0"/>
      <charset val="1"/>
    </font>
    <font>
      <b val="true"/>
      <sz val="10"/>
      <name val="Arial"/>
      <family val="0"/>
      <charset val="1"/>
    </font>
    <font>
      <b val="true"/>
      <sz val="10"/>
      <color rgb="FF008000"/>
      <name val="Arial"/>
      <family val="0"/>
      <charset val="1"/>
    </font>
    <font>
      <sz val="10"/>
      <name val="Arial"/>
      <family val="0"/>
      <charset val="1"/>
    </font>
    <font>
      <sz val="10"/>
      <color rgb="FF0000FF"/>
      <name val="Arial"/>
      <family val="0"/>
      <charset val="1"/>
    </font>
    <font>
      <sz val="9"/>
      <name val="Arial"/>
      <family val="0"/>
      <charset val="1"/>
    </font>
    <font>
      <sz val="10"/>
      <color rgb="FF008000"/>
      <name val="Arial"/>
      <family val="0"/>
      <charset val="1"/>
    </font>
    <font>
      <b val="true"/>
      <sz val="9"/>
      <color rgb="FFFFFFFF"/>
      <name val="Arial"/>
      <family val="0"/>
      <charset val="1"/>
    </font>
    <font>
      <b val="true"/>
      <sz val="9"/>
      <name val="Arial"/>
      <family val="0"/>
      <charset val="1"/>
    </font>
    <font>
      <sz val="9"/>
      <color rgb="FF008000"/>
      <name val="Arial"/>
      <family val="0"/>
      <charset val="1"/>
    </font>
    <font>
      <i val="true"/>
      <sz val="8"/>
      <name val="Arial"/>
      <family val="0"/>
      <charset val="1"/>
    </font>
    <font>
      <sz val="8"/>
      <name val="Arial"/>
      <family val="0"/>
      <charset val="1"/>
    </font>
    <font>
      <b val="true"/>
      <sz val="12"/>
      <name val="Arial"/>
      <family val="0"/>
      <charset val="1"/>
    </font>
    <font>
      <sz val="9"/>
      <color rgb="FF6B7676"/>
      <name val="Arial"/>
      <family val="0"/>
      <charset val="1"/>
    </font>
    <font>
      <sz val="9"/>
      <color rgb="FF0000FF"/>
      <name val="Arial"/>
      <family val="0"/>
      <charset val="1"/>
    </font>
    <font>
      <sz val="8"/>
      <color rgb="FF6B7676"/>
      <name val="Arial"/>
      <family val="0"/>
      <charset val="1"/>
    </font>
    <font>
      <b val="true"/>
      <sz val="9"/>
      <color rgb="FF6B7676"/>
      <name val="Arial"/>
      <family val="0"/>
      <charset val="1"/>
    </font>
  </fonts>
  <fills count="6">
    <fill>
      <patternFill patternType="none"/>
    </fill>
    <fill>
      <patternFill patternType="gray125"/>
    </fill>
    <fill>
      <patternFill patternType="solid">
        <fgColor rgb="FF1B5E5E"/>
        <bgColor rgb="FF404848"/>
      </patternFill>
    </fill>
    <fill>
      <patternFill patternType="solid">
        <fgColor rgb="FF2A8F8F"/>
        <bgColor rgb="FF008080"/>
      </patternFill>
    </fill>
    <fill>
      <patternFill patternType="solid">
        <fgColor rgb="FFFFFF00"/>
        <bgColor rgb="FFFFFF00"/>
      </patternFill>
    </fill>
    <fill>
      <patternFill patternType="solid">
        <fgColor rgb="FFE8F2F2"/>
        <bgColor rgb="FFFFFFFF"/>
      </patternFill>
    </fill>
  </fills>
  <borders count="2">
    <border diagonalUp="false" diagonalDown="false">
      <left/>
      <right/>
      <top/>
      <bottom/>
      <diagonal/>
    </border>
    <border diagonalUp="false" diagonalDown="false">
      <left style="thin">
        <color rgb="FFB0B0B0"/>
      </left>
      <right style="thin">
        <color rgb="FFB0B0B0"/>
      </right>
      <top style="thin">
        <color rgb="FFB0B0B0"/>
      </top>
      <bottom style="thin">
        <color rgb="FFB0B0B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86">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general" vertical="top" textRotation="0" wrapText="tru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4" fillId="2" borderId="0" xfId="0" applyFont="true" applyBorder="false" applyAlignment="true" applyProtection="false">
      <alignment horizontal="left" vertical="center" textRotation="0" wrapText="false" indent="0" shrinkToFit="false"/>
      <protection locked="true" hidden="false"/>
    </xf>
    <xf numFmtId="164" fontId="0" fillId="2" borderId="0" xfId="0" applyFont="false" applyBorder="false" applyAlignment="true" applyProtection="false">
      <alignment horizontal="general" vertical="bottom" textRotation="0" wrapText="false" indent="0" shrinkToFit="false"/>
      <protection locked="true" hidden="false"/>
    </xf>
    <xf numFmtId="164" fontId="7" fillId="0" borderId="0" xfId="0" applyFont="true" applyBorder="false" applyAlignment="true" applyProtection="false">
      <alignment horizontal="left" vertical="center" textRotation="0" wrapText="false" indent="0" shrinkToFit="false"/>
      <protection locked="true" hidden="false"/>
    </xf>
    <xf numFmtId="164" fontId="8" fillId="3" borderId="0" xfId="0" applyFont="true" applyBorder="false" applyAlignment="true" applyProtection="false">
      <alignment horizontal="left" vertical="center" textRotation="0" wrapText="false" indent="0" shrinkToFit="false"/>
      <protection locked="true" hidden="false"/>
    </xf>
    <xf numFmtId="164" fontId="0" fillId="3" borderId="0" xfId="0" applyFont="false" applyBorder="false" applyAlignment="tru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left" vertical="center" textRotation="0" wrapText="false" indent="0" shrinkToFit="false"/>
      <protection locked="true" hidden="false"/>
    </xf>
    <xf numFmtId="165" fontId="10" fillId="4" borderId="0" xfId="0" applyFont="true" applyBorder="false" applyAlignment="true" applyProtection="false">
      <alignment horizontal="right" vertical="center" textRotation="0" wrapText="false" indent="0" shrinkToFit="false"/>
      <protection locked="true" hidden="false"/>
    </xf>
    <xf numFmtId="164" fontId="11" fillId="0" borderId="0" xfId="0" applyFont="true" applyBorder="false" applyAlignment="true" applyProtection="false">
      <alignment horizontal="left" vertical="center" textRotation="0" wrapText="false" indent="0" shrinkToFit="false"/>
      <protection locked="true" hidden="false"/>
    </xf>
    <xf numFmtId="165" fontId="12" fillId="0" borderId="0" xfId="0" applyFont="true" applyBorder="false" applyAlignment="true" applyProtection="false">
      <alignment horizontal="right" vertical="center" textRotation="0" wrapText="false" indent="0" shrinkToFit="false"/>
      <protection locked="true" hidden="false"/>
    </xf>
    <xf numFmtId="164" fontId="13" fillId="0" borderId="0" xfId="0" applyFont="true" applyBorder="false" applyAlignment="true" applyProtection="false">
      <alignment horizontal="left" vertical="center" textRotation="0" wrapText="false" indent="0" shrinkToFit="false"/>
      <protection locked="true" hidden="false"/>
    </xf>
    <xf numFmtId="166" fontId="13" fillId="0" borderId="0" xfId="0" applyFont="true" applyBorder="false" applyAlignment="true" applyProtection="false">
      <alignment horizontal="right" vertical="center" textRotation="0" wrapText="false" indent="0" shrinkToFit="false"/>
      <protection locked="true" hidden="false"/>
    </xf>
    <xf numFmtId="166" fontId="14" fillId="0" borderId="0" xfId="0" applyFont="true" applyBorder="false" applyAlignment="true" applyProtection="false">
      <alignment horizontal="right" vertical="center" textRotation="0" wrapText="false" indent="0" shrinkToFit="false"/>
      <protection locked="true" hidden="false"/>
    </xf>
    <xf numFmtId="167" fontId="14" fillId="0" borderId="0" xfId="0" applyFont="true" applyBorder="false" applyAlignment="true" applyProtection="false">
      <alignment horizontal="right" vertical="center" textRotation="0" wrapText="false" indent="0" shrinkToFit="false"/>
      <protection locked="true" hidden="false"/>
    </xf>
    <xf numFmtId="164" fontId="13" fillId="0" borderId="0" xfId="0" applyFont="true" applyBorder="false" applyAlignment="true" applyProtection="false">
      <alignment horizontal="left" vertical="center" textRotation="0" wrapText="true" indent="0" shrinkToFit="false"/>
      <protection locked="true" hidden="false"/>
    </xf>
    <xf numFmtId="164" fontId="13" fillId="0" borderId="0" xfId="0" applyFont="true" applyBorder="false" applyAlignment="true" applyProtection="false">
      <alignment horizontal="general" vertical="bottom" textRotation="0" wrapText="false" indent="0" shrinkToFit="false"/>
      <protection locked="true" hidden="false"/>
    </xf>
    <xf numFmtId="167" fontId="12" fillId="4" borderId="0" xfId="0" applyFont="true" applyBorder="false" applyAlignment="true" applyProtection="false">
      <alignment horizontal="right" vertical="center" textRotation="0" wrapText="false" indent="0" shrinkToFit="false"/>
      <protection locked="true" hidden="false"/>
    </xf>
    <xf numFmtId="167" fontId="12" fillId="0" borderId="0" xfId="0" applyFont="true" applyBorder="false" applyAlignment="true" applyProtection="false">
      <alignment horizontal="right" vertical="center" textRotation="0" wrapText="false" indent="0" shrinkToFit="false"/>
      <protection locked="true" hidden="false"/>
    </xf>
    <xf numFmtId="166" fontId="12" fillId="4" borderId="0" xfId="0" applyFont="true" applyBorder="false" applyAlignment="true" applyProtection="false">
      <alignment horizontal="right" vertical="center" textRotation="0" wrapText="false" indent="0" shrinkToFit="false"/>
      <protection locked="true" hidden="false"/>
    </xf>
    <xf numFmtId="166" fontId="12" fillId="0" borderId="0" xfId="0" applyFont="true" applyBorder="false" applyAlignment="true" applyProtection="false">
      <alignment horizontal="right" vertical="center" textRotation="0" wrapText="false" indent="0" shrinkToFit="false"/>
      <protection locked="true" hidden="false"/>
    </xf>
    <xf numFmtId="168" fontId="12" fillId="0" borderId="0" xfId="0" applyFont="true" applyBorder="false" applyAlignment="true" applyProtection="false">
      <alignment horizontal="right" vertical="center" textRotation="0" wrapText="false" indent="0" shrinkToFit="false"/>
      <protection locked="true" hidden="false"/>
    </xf>
    <xf numFmtId="167" fontId="12" fillId="3" borderId="0" xfId="0" applyFont="true" applyBorder="false" applyAlignment="true" applyProtection="false">
      <alignment horizontal="right" vertical="center" textRotation="0" wrapText="false" indent="0" shrinkToFit="false"/>
      <protection locked="true" hidden="false"/>
    </xf>
    <xf numFmtId="164" fontId="15" fillId="2" borderId="0" xfId="0" applyFont="true" applyBorder="false" applyAlignment="true" applyProtection="false">
      <alignment horizontal="center" vertical="center" textRotation="0" wrapText="true" indent="0" shrinkToFit="false"/>
      <protection locked="true" hidden="false"/>
    </xf>
    <xf numFmtId="169" fontId="12" fillId="0" borderId="0" xfId="0" applyFont="true" applyBorder="false" applyAlignment="true" applyProtection="false">
      <alignment horizontal="right" vertical="center" textRotation="0" wrapText="false" indent="0" shrinkToFit="false"/>
      <protection locked="true" hidden="false"/>
    </xf>
    <xf numFmtId="164" fontId="8" fillId="2" borderId="0" xfId="0" applyFont="true" applyBorder="false" applyAlignment="true" applyProtection="false">
      <alignment horizontal="left" vertical="center" textRotation="0" wrapText="false" indent="0" shrinkToFit="false"/>
      <protection locked="true" hidden="false"/>
    </xf>
    <xf numFmtId="164" fontId="16" fillId="5" borderId="0" xfId="0" applyFont="true" applyBorder="false" applyAlignment="true" applyProtection="false">
      <alignment horizontal="center" vertical="center" textRotation="0" wrapText="true" indent="0" shrinkToFit="false"/>
      <protection locked="true" hidden="false"/>
    </xf>
    <xf numFmtId="164" fontId="17" fillId="0" borderId="0" xfId="0" applyFont="true" applyBorder="false" applyAlignment="true" applyProtection="false">
      <alignment horizontal="left" vertical="center" textRotation="0" wrapText="false" indent="0" shrinkToFit="false"/>
      <protection locked="true" hidden="false"/>
    </xf>
    <xf numFmtId="168" fontId="11" fillId="0" borderId="0" xfId="0" applyFont="true" applyBorder="false" applyAlignment="true" applyProtection="false">
      <alignment horizontal="right" vertical="center" textRotation="0" wrapText="false" indent="0" shrinkToFit="false"/>
      <protection locked="true" hidden="false"/>
    </xf>
    <xf numFmtId="168" fontId="17" fillId="0" borderId="0" xfId="0" applyFont="true" applyBorder="false" applyAlignment="true" applyProtection="false">
      <alignment horizontal="right" vertical="center" textRotation="0" wrapText="false" indent="0" shrinkToFit="false"/>
      <protection locked="true" hidden="false"/>
    </xf>
    <xf numFmtId="167" fontId="11" fillId="0" borderId="0" xfId="0" applyFont="true" applyBorder="false" applyAlignment="true" applyProtection="false">
      <alignment horizontal="right" vertical="center" textRotation="0" wrapText="false" indent="0" shrinkToFit="false"/>
      <protection locked="true" hidden="false"/>
    </xf>
    <xf numFmtId="168" fontId="9" fillId="0" borderId="0" xfId="0" applyFont="true" applyBorder="false" applyAlignment="true" applyProtection="false">
      <alignment horizontal="right" vertical="center" textRotation="0" wrapText="false" indent="0" shrinkToFit="false"/>
      <protection locked="true" hidden="false"/>
    </xf>
    <xf numFmtId="167" fontId="9" fillId="0" borderId="0" xfId="0" applyFont="true" applyBorder="false" applyAlignment="true" applyProtection="false">
      <alignment horizontal="right" vertical="center" textRotation="0" wrapText="false" indent="0" shrinkToFit="false"/>
      <protection locked="true" hidden="false"/>
    </xf>
    <xf numFmtId="167" fontId="9" fillId="5" borderId="0" xfId="0" applyFont="true" applyBorder="false" applyAlignment="true" applyProtection="false">
      <alignment horizontal="right" vertical="center" textRotation="0" wrapText="false" indent="0" shrinkToFit="false"/>
      <protection locked="true" hidden="false"/>
    </xf>
    <xf numFmtId="164" fontId="9" fillId="5" borderId="0" xfId="0" applyFont="true" applyBorder="false" applyAlignment="true" applyProtection="false">
      <alignment horizontal="right" vertical="center" textRotation="0" wrapText="false" indent="0" shrinkToFit="false"/>
      <protection locked="true" hidden="false"/>
    </xf>
    <xf numFmtId="164" fontId="9" fillId="0" borderId="0" xfId="0" applyFont="true" applyBorder="false" applyAlignment="true" applyProtection="false">
      <alignment horizontal="right" vertical="center" textRotation="0" wrapText="false" indent="0" shrinkToFit="false"/>
      <protection locked="true" hidden="false"/>
    </xf>
    <xf numFmtId="166" fontId="9" fillId="0" borderId="0" xfId="0" applyFont="true" applyBorder="false" applyAlignment="true" applyProtection="false">
      <alignment horizontal="right" vertical="center" textRotation="0" wrapText="false" indent="0" shrinkToFit="false"/>
      <protection locked="true" hidden="false"/>
    </xf>
    <xf numFmtId="164" fontId="15" fillId="3" borderId="0" xfId="0" applyFont="true" applyBorder="false" applyAlignment="true" applyProtection="false">
      <alignment horizontal="left" vertical="center" textRotation="0" wrapText="false" indent="0" shrinkToFit="false"/>
      <protection locked="true" hidden="false"/>
    </xf>
    <xf numFmtId="164" fontId="15" fillId="3" borderId="0" xfId="0" applyFont="true" applyBorder="false" applyAlignment="true" applyProtection="false">
      <alignment horizontal="center" vertical="center" textRotation="0" wrapText="false" indent="0" shrinkToFit="false"/>
      <protection locked="true" hidden="false"/>
    </xf>
    <xf numFmtId="164" fontId="18" fillId="0" borderId="0" xfId="0" applyFont="true" applyBorder="false" applyAlignment="true" applyProtection="false">
      <alignment horizontal="left" vertical="center" textRotation="0" wrapText="false" indent="0" shrinkToFit="false"/>
      <protection locked="true" hidden="false"/>
    </xf>
    <xf numFmtId="164" fontId="15" fillId="2" borderId="0" xfId="0" applyFont="true" applyBorder="false" applyAlignment="true" applyProtection="false">
      <alignment horizontal="left" vertical="center" textRotation="0" wrapText="false" indent="0" shrinkToFit="false"/>
      <protection locked="true" hidden="false"/>
    </xf>
    <xf numFmtId="167" fontId="13" fillId="0" borderId="0" xfId="0" applyFont="true" applyBorder="false" applyAlignment="true" applyProtection="false">
      <alignment horizontal="right" vertical="center" textRotation="0" wrapText="false" indent="0" shrinkToFit="false"/>
      <protection locked="true" hidden="false"/>
    </xf>
    <xf numFmtId="167" fontId="19" fillId="0" borderId="0" xfId="0" applyFont="true" applyBorder="false" applyAlignment="true" applyProtection="false">
      <alignment horizontal="right" vertical="center" textRotation="0" wrapText="false" indent="0" shrinkToFit="false"/>
      <protection locked="true" hidden="false"/>
    </xf>
    <xf numFmtId="164" fontId="8" fillId="0" borderId="0" xfId="0" applyFont="true" applyBorder="false" applyAlignment="true" applyProtection="false">
      <alignment horizontal="left" vertical="center" textRotation="0" wrapText="false" indent="0" shrinkToFit="false"/>
      <protection locked="true" hidden="false"/>
    </xf>
    <xf numFmtId="170" fontId="11" fillId="0" borderId="0" xfId="0" applyFont="true" applyBorder="false" applyAlignment="true" applyProtection="false">
      <alignment horizontal="right" vertical="center" textRotation="0" wrapText="false" indent="0" shrinkToFit="false"/>
      <protection locked="true" hidden="false"/>
    </xf>
    <xf numFmtId="167" fontId="9" fillId="4" borderId="0" xfId="0" applyFont="true" applyBorder="false" applyAlignment="true" applyProtection="false">
      <alignment horizontal="right" vertical="center" textRotation="0" wrapText="false" indent="0" shrinkToFit="false"/>
      <protection locked="true" hidden="false"/>
    </xf>
    <xf numFmtId="165" fontId="9" fillId="4" borderId="0" xfId="0" applyFont="true" applyBorder="false" applyAlignment="true" applyProtection="false">
      <alignment horizontal="right" vertical="center" textRotation="0" wrapText="false" indent="0" shrinkToFit="false"/>
      <protection locked="true" hidden="false"/>
    </xf>
    <xf numFmtId="164" fontId="16" fillId="5" borderId="0" xfId="0" applyFont="true" applyBorder="false" applyAlignment="true" applyProtection="false">
      <alignment horizontal="center" vertical="center" textRotation="0" wrapText="false" indent="0" shrinkToFit="false"/>
      <protection locked="true" hidden="false"/>
    </xf>
    <xf numFmtId="165" fontId="11" fillId="0" borderId="0" xfId="0" applyFont="true" applyBorder="false" applyAlignment="true" applyProtection="false">
      <alignment horizontal="right" vertical="center" textRotation="0" wrapText="false" indent="0" shrinkToFit="false"/>
      <protection locked="true" hidden="false"/>
    </xf>
    <xf numFmtId="165" fontId="9" fillId="0" borderId="0" xfId="0" applyFont="true" applyBorder="false" applyAlignment="true" applyProtection="false">
      <alignment horizontal="right" vertical="center" textRotation="0" wrapText="false" indent="0" shrinkToFit="false"/>
      <protection locked="true" hidden="false"/>
    </xf>
    <xf numFmtId="164" fontId="9" fillId="4" borderId="0" xfId="0" applyFont="true" applyBorder="false" applyAlignment="true" applyProtection="false">
      <alignment horizontal="left" vertical="center" textRotation="0" wrapText="false" indent="0" shrinkToFit="false"/>
      <protection locked="true" hidden="false"/>
    </xf>
    <xf numFmtId="164" fontId="20" fillId="0" borderId="0" xfId="0" applyFont="true" applyBorder="false" applyAlignment="true" applyProtection="false">
      <alignment horizontal="general" vertical="bottom" textRotation="0" wrapText="false" indent="0" shrinkToFit="false"/>
      <protection locked="true" hidden="false"/>
    </xf>
    <xf numFmtId="164" fontId="21" fillId="0" borderId="0" xfId="0" applyFont="true" applyBorder="true" applyAlignment="true" applyProtection="false">
      <alignment horizontal="general" vertical="center" textRotation="0" wrapText="true" indent="0" shrinkToFit="false"/>
      <protection locked="true" hidden="false"/>
    </xf>
    <xf numFmtId="164" fontId="8" fillId="2" borderId="0" xfId="0" applyFont="true" applyBorder="false" applyAlignment="tru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general" vertical="bottom" textRotation="0" wrapText="false" indent="0" shrinkToFit="false"/>
      <protection locked="true" hidden="false"/>
    </xf>
    <xf numFmtId="171" fontId="12" fillId="0" borderId="0" xfId="0" applyFont="true" applyBorder="false" applyAlignment="true" applyProtection="false">
      <alignment horizontal="right" vertical="center" textRotation="0" wrapText="false" indent="0" shrinkToFit="false"/>
      <protection locked="true" hidden="false"/>
    </xf>
    <xf numFmtId="164" fontId="15" fillId="3" borderId="1" xfId="0" applyFont="true" applyBorder="true" applyAlignment="true" applyProtection="false">
      <alignment horizontal="left" vertical="center" textRotation="0" wrapText="false" indent="0" shrinkToFit="false"/>
      <protection locked="true" hidden="false"/>
    </xf>
    <xf numFmtId="164" fontId="15" fillId="3" borderId="1" xfId="0" applyFont="true" applyBorder="true" applyAlignment="true" applyProtection="false">
      <alignment horizontal="center" vertical="center" textRotation="0" wrapText="false" indent="0" shrinkToFit="false"/>
      <protection locked="true" hidden="false"/>
    </xf>
    <xf numFmtId="164" fontId="13" fillId="0" borderId="1" xfId="0" applyFont="true" applyBorder="true" applyAlignment="true" applyProtection="false">
      <alignment horizontal="general" vertical="bottom" textRotation="0" wrapText="false" indent="0" shrinkToFit="false"/>
      <protection locked="true" hidden="false"/>
    </xf>
    <xf numFmtId="164" fontId="13" fillId="0" borderId="1" xfId="0" applyFont="true" applyBorder="true" applyAlignment="true" applyProtection="false">
      <alignment horizontal="center" vertical="center" textRotation="0" wrapText="false" indent="0" shrinkToFit="false"/>
      <protection locked="true" hidden="false"/>
    </xf>
    <xf numFmtId="166" fontId="22" fillId="0" borderId="1" xfId="0" applyFont="true" applyBorder="true" applyAlignment="true" applyProtection="false">
      <alignment horizontal="center" vertical="center" textRotation="0" wrapText="false" indent="0" shrinkToFit="false"/>
      <protection locked="true" hidden="false"/>
    </xf>
    <xf numFmtId="172" fontId="22" fillId="0" borderId="1" xfId="0" applyFont="true" applyBorder="true" applyAlignment="true" applyProtection="false">
      <alignment horizontal="center" vertical="center" textRotation="0" wrapText="fals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73" fontId="11" fillId="0" borderId="0" xfId="0" applyFont="true" applyBorder="false" applyAlignment="true" applyProtection="false">
      <alignment horizontal="right" vertical="center" textRotation="0" wrapText="false" indent="0" shrinkToFit="false"/>
      <protection locked="true" hidden="false"/>
    </xf>
    <xf numFmtId="166" fontId="11" fillId="0" borderId="0" xfId="0" applyFont="true" applyBorder="false" applyAlignment="true" applyProtection="false">
      <alignment horizontal="right" vertical="center" textRotation="0" wrapText="false" indent="0" shrinkToFit="false"/>
      <protection locked="true" hidden="false"/>
    </xf>
    <xf numFmtId="164" fontId="23" fillId="0" borderId="0" xfId="0" applyFont="true" applyBorder="false" applyAlignment="true" applyProtection="false">
      <alignment horizontal="general" vertical="bottom" textRotation="0" wrapText="false" indent="0" shrinkToFit="false"/>
      <protection locked="true" hidden="false"/>
    </xf>
    <xf numFmtId="164" fontId="16" fillId="0" borderId="1" xfId="0" applyFont="true" applyBorder="true" applyAlignment="true" applyProtection="false">
      <alignment horizontal="general" vertical="bottom" textRotation="0" wrapText="false" indent="0" shrinkToFit="false"/>
      <protection locked="true" hidden="false"/>
    </xf>
    <xf numFmtId="171" fontId="13" fillId="0" borderId="1" xfId="0" applyFont="true" applyBorder="true" applyAlignment="true" applyProtection="false">
      <alignment horizontal="center" vertical="center" textRotation="0" wrapText="false" indent="0" shrinkToFit="false"/>
      <protection locked="true" hidden="false"/>
    </xf>
    <xf numFmtId="171" fontId="16" fillId="0" borderId="1" xfId="0" applyFont="true" applyBorder="true" applyAlignment="true" applyProtection="false">
      <alignment horizontal="center" vertical="center" textRotation="0" wrapText="false" indent="0" shrinkToFit="false"/>
      <protection locked="true" hidden="false"/>
    </xf>
    <xf numFmtId="164" fontId="21" fillId="0" borderId="1" xfId="0" applyFont="true" applyBorder="true" applyAlignment="true" applyProtection="false">
      <alignment horizontal="general" vertical="bottom" textRotation="0" wrapText="false" indent="0" shrinkToFit="false"/>
      <protection locked="true" hidden="false"/>
    </xf>
    <xf numFmtId="171" fontId="21" fillId="0" borderId="1" xfId="0" applyFont="true" applyBorder="true" applyAlignment="true" applyProtection="false">
      <alignment horizontal="center" vertical="center" textRotation="0" wrapText="false" indent="0" shrinkToFit="false"/>
      <protection locked="true" hidden="false"/>
    </xf>
    <xf numFmtId="171" fontId="24" fillId="0" borderId="1" xfId="0" applyFont="true" applyBorder="true" applyAlignment="true" applyProtection="false">
      <alignment horizontal="center" vertical="center" textRotation="0" wrapText="false" indent="0" shrinkToFit="false"/>
      <protection locked="true" hidden="false"/>
    </xf>
    <xf numFmtId="164" fontId="23" fillId="0" borderId="1" xfId="0" applyFont="true" applyBorder="true" applyAlignment="true" applyProtection="false">
      <alignment horizontal="general" vertical="bottom" textRotation="0" wrapText="false" indent="0" shrinkToFit="false"/>
      <protection locked="true" hidden="false"/>
    </xf>
    <xf numFmtId="174" fontId="13" fillId="0" borderId="0" xfId="0" applyFont="true" applyBorder="false" applyAlignment="true" applyProtection="false">
      <alignment horizontal="center" vertical="center" textRotation="0" wrapText="false" indent="0" shrinkToFit="false"/>
      <protection locked="true" hidden="false"/>
    </xf>
    <xf numFmtId="172" fontId="13" fillId="0" borderId="1" xfId="0" applyFont="true" applyBorder="true" applyAlignment="true" applyProtection="false">
      <alignment horizontal="center" vertical="center" textRotation="0" wrapText="false" indent="0" shrinkToFit="false"/>
      <protection locked="true" hidden="false"/>
    </xf>
    <xf numFmtId="172" fontId="21" fillId="0" borderId="1" xfId="0" applyFont="true" applyBorder="true" applyAlignment="true" applyProtection="false">
      <alignment horizontal="center" vertical="center" textRotation="0" wrapText="false" indent="0" shrinkToFit="false"/>
      <protection locked="true" hidden="false"/>
    </xf>
    <xf numFmtId="171" fontId="13" fillId="0" borderId="1" xfId="0" applyFont="true" applyBorder="true" applyAlignment="true" applyProtection="false">
      <alignment horizontal="general" vertical="bottom" textRotation="0" wrapText="false" indent="0" shrinkToFit="false"/>
      <protection locked="true" hidden="false"/>
    </xf>
    <xf numFmtId="164" fontId="23" fillId="0" borderId="0" xfId="0" applyFont="true" applyBorder="true" applyAlignment="true" applyProtection="false">
      <alignment horizontal="general" vertical="bottom" textRotation="0" wrapText="false" indent="0" shrinkToFit="false"/>
      <protection locked="true" hidden="false"/>
    </xf>
    <xf numFmtId="164" fontId="16" fillId="0" borderId="0" xfId="0" applyFont="true" applyBorder="false" applyAlignment="true" applyProtection="false">
      <alignment horizontal="center" vertical="center" textRotation="0" wrapText="false" indent="0" shrinkToFit="false"/>
      <protection locked="true" hidden="false"/>
    </xf>
    <xf numFmtId="166" fontId="12" fillId="5" borderId="0" xfId="0" applyFont="true" applyBorder="false" applyAlignment="true" applyProtection="false">
      <alignment horizontal="center" vertical="center" textRotation="0" wrapText="false" indent="0" shrinkToFit="false"/>
      <protection locked="true" hidden="false"/>
    </xf>
    <xf numFmtId="165" fontId="11" fillId="0" borderId="0" xfId="0" applyFont="true" applyBorder="false" applyAlignment="true" applyProtection="false">
      <alignment horizontal="center" vertical="center" textRotation="0" wrapText="false" indent="0" shrinkToFit="false"/>
      <protection locked="true" hidden="false"/>
    </xf>
    <xf numFmtId="165" fontId="9" fillId="4" borderId="0" xfId="0" applyFont="true" applyBorder="false" applyAlignment="true" applyProtection="false">
      <alignment horizontal="center" vertical="center" textRotation="0" wrapText="false" indent="0" shrinkToFit="false"/>
      <protection locked="true" hidden="false"/>
    </xf>
    <xf numFmtId="175" fontId="12" fillId="5" borderId="0" xfId="0" applyFont="true" applyBorder="false" applyAlignment="true" applyProtection="false">
      <alignment horizontal="center"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1B5E5E"/>
      <rgbColor rgb="FFB0B0B0"/>
      <rgbColor rgb="FF6B7676"/>
      <rgbColor rgb="FF9999FF"/>
      <rgbColor rgb="FF993366"/>
      <rgbColor rgb="FFFFFFCC"/>
      <rgbColor rgb="FFE8F2F2"/>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2A8F8F"/>
      <rgbColor rgb="FF003300"/>
      <rgbColor rgb="FF333300"/>
      <rgbColor rgb="FF993300"/>
      <rgbColor rgb="FF993366"/>
      <rgbColor rgb="FF333399"/>
      <rgbColor rgb="FF404848"/>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B5E5E"/>
    <pageSetUpPr fitToPage="false"/>
  </sheetPr>
  <dimension ref="A1:A25"/>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135"/>
  </cols>
  <sheetData>
    <row r="1" customFormat="false" ht="30" hidden="false" customHeight="true" outlineLevel="0" collapsed="false">
      <c r="A1" s="1" t="s">
        <v>0</v>
      </c>
    </row>
    <row r="3" customFormat="false" ht="15" hidden="false" customHeight="false" outlineLevel="0" collapsed="false">
      <c r="A3" s="2" t="s">
        <v>1</v>
      </c>
    </row>
    <row r="4" customFormat="false" ht="57.75" hidden="false" customHeight="true" outlineLevel="0" collapsed="false">
      <c r="A4" s="3" t="s">
        <v>2</v>
      </c>
    </row>
    <row r="6" customFormat="false" ht="15" hidden="false" customHeight="false" outlineLevel="0" collapsed="false">
      <c r="A6" s="2" t="s">
        <v>3</v>
      </c>
    </row>
    <row r="7" customFormat="false" ht="57.75" hidden="false" customHeight="true" outlineLevel="0" collapsed="false">
      <c r="A7" s="3" t="s">
        <v>4</v>
      </c>
    </row>
    <row r="9" customFormat="false" ht="15" hidden="false" customHeight="false" outlineLevel="0" collapsed="false">
      <c r="A9" s="2" t="s">
        <v>5</v>
      </c>
    </row>
    <row r="10" customFormat="false" ht="57.75" hidden="false" customHeight="true" outlineLevel="0" collapsed="false">
      <c r="A10" s="3" t="s">
        <v>6</v>
      </c>
    </row>
    <row r="12" customFormat="false" ht="15" hidden="false" customHeight="false" outlineLevel="0" collapsed="false">
      <c r="A12" s="2" t="s">
        <v>7</v>
      </c>
    </row>
    <row r="13" customFormat="false" ht="57.75" hidden="false" customHeight="true" outlineLevel="0" collapsed="false">
      <c r="A13" s="3" t="s">
        <v>8</v>
      </c>
    </row>
    <row r="15" customFormat="false" ht="15" hidden="false" customHeight="false" outlineLevel="0" collapsed="false">
      <c r="A15" s="2" t="s">
        <v>9</v>
      </c>
    </row>
    <row r="16" customFormat="false" ht="57.75" hidden="false" customHeight="true" outlineLevel="0" collapsed="false">
      <c r="A16" s="3" t="s">
        <v>10</v>
      </c>
    </row>
    <row r="18" customFormat="false" ht="15" hidden="false" customHeight="false" outlineLevel="0" collapsed="false">
      <c r="A18" s="2" t="s">
        <v>11</v>
      </c>
    </row>
    <row r="19" customFormat="false" ht="57.75" hidden="false" customHeight="true" outlineLevel="0" collapsed="false">
      <c r="A19" s="3" t="s">
        <v>12</v>
      </c>
    </row>
    <row r="21" customFormat="false" ht="15" hidden="false" customHeight="false" outlineLevel="0" collapsed="false">
      <c r="A21" s="2" t="s">
        <v>13</v>
      </c>
    </row>
    <row r="22" customFormat="false" ht="57.75" hidden="false" customHeight="true" outlineLevel="0" collapsed="false">
      <c r="A22" s="3" t="s">
        <v>14</v>
      </c>
    </row>
    <row r="24" customFormat="false" ht="15" hidden="false" customHeight="false" outlineLevel="0" collapsed="false">
      <c r="A24" s="2" t="s">
        <v>15</v>
      </c>
    </row>
    <row r="25" customFormat="false" ht="57.75" hidden="false" customHeight="true" outlineLevel="0" collapsed="false">
      <c r="A25" s="3" t="s">
        <v>16</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Y3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4" width="34"/>
    <col collapsed="false" customWidth="true" hidden="false" outlineLevel="0" max="2" min="2" style="4" width="15"/>
    <col collapsed="false" customWidth="true" hidden="false" outlineLevel="0" max="25" min="3" style="4" width="7.5"/>
  </cols>
  <sheetData>
    <row r="1" customFormat="false" ht="21.75" hidden="false" customHeight="true" outlineLevel="0" collapsed="false">
      <c r="A1" s="5" t="s">
        <v>256</v>
      </c>
      <c r="B1" s="6"/>
      <c r="C1" s="6"/>
      <c r="D1" s="6"/>
      <c r="E1" s="6"/>
      <c r="F1" s="6"/>
      <c r="G1" s="6"/>
      <c r="H1" s="6"/>
      <c r="I1" s="6"/>
      <c r="J1" s="6"/>
      <c r="K1" s="6"/>
      <c r="L1" s="6"/>
      <c r="M1" s="6"/>
      <c r="N1" s="6"/>
      <c r="O1" s="6"/>
      <c r="P1" s="6"/>
      <c r="Q1" s="6"/>
      <c r="R1" s="6"/>
      <c r="S1" s="6"/>
      <c r="T1" s="6"/>
      <c r="U1" s="6"/>
      <c r="V1" s="6"/>
      <c r="W1" s="6"/>
      <c r="X1" s="6"/>
      <c r="Y1" s="6"/>
    </row>
    <row r="2" customFormat="false" ht="15" hidden="false" customHeight="true" outlineLevel="0" collapsed="false">
      <c r="A2" s="7" t="s">
        <v>257</v>
      </c>
    </row>
    <row r="3" customFormat="false" ht="15" hidden="false" customHeight="true" outlineLevel="0" collapsed="false">
      <c r="A3" s="40" t="s">
        <v>159</v>
      </c>
      <c r="C3" s="41" t="s">
        <v>160</v>
      </c>
      <c r="D3" s="41" t="s">
        <v>161</v>
      </c>
      <c r="E3" s="41" t="s">
        <v>162</v>
      </c>
      <c r="F3" s="41" t="s">
        <v>163</v>
      </c>
      <c r="G3" s="41" t="s">
        <v>164</v>
      </c>
      <c r="H3" s="41" t="s">
        <v>165</v>
      </c>
      <c r="I3" s="41" t="s">
        <v>166</v>
      </c>
      <c r="J3" s="41" t="s">
        <v>167</v>
      </c>
      <c r="K3" s="41" t="s">
        <v>168</v>
      </c>
      <c r="L3" s="41" t="s">
        <v>169</v>
      </c>
      <c r="M3" s="41" t="s">
        <v>170</v>
      </c>
      <c r="N3" s="41" t="s">
        <v>171</v>
      </c>
      <c r="O3" s="41" t="s">
        <v>172</v>
      </c>
      <c r="P3" s="41" t="s">
        <v>173</v>
      </c>
      <c r="Q3" s="41" t="s">
        <v>174</v>
      </c>
      <c r="R3" s="41" t="s">
        <v>175</v>
      </c>
      <c r="S3" s="41" t="s">
        <v>176</v>
      </c>
      <c r="T3" s="41" t="s">
        <v>177</v>
      </c>
      <c r="U3" s="41" t="s">
        <v>178</v>
      </c>
      <c r="V3" s="41" t="s">
        <v>179</v>
      </c>
      <c r="W3" s="41" t="s">
        <v>180</v>
      </c>
      <c r="X3" s="41" t="s">
        <v>181</v>
      </c>
      <c r="Y3" s="41" t="s">
        <v>182</v>
      </c>
    </row>
    <row r="4" customFormat="false" ht="15" hidden="false" customHeight="true" outlineLevel="0" collapsed="false">
      <c r="A4" s="10" t="s">
        <v>258</v>
      </c>
      <c r="C4" s="33" t="n">
        <f aca="false">'Project Cash Flows'!C6-'Project Cash Flows'!C9-'Project Cash Flows'!C10-'Project Cash Flows'!C11-'Income Statement'!C4*Assumptions!$B$18-MAX('Income Statement'!C13,0)*Assumptions!$B$11</f>
        <v>3.0669659875</v>
      </c>
      <c r="D4" s="33" t="n">
        <f aca="false">'Project Cash Flows'!D6-'Project Cash Flows'!D9-'Project Cash Flows'!D10-'Project Cash Flows'!D11-'Income Statement'!D4*Assumptions!$B$18-MAX('Income Statement'!D13,0)*Assumptions!$B$11</f>
        <v>2.26995898750001</v>
      </c>
      <c r="E4" s="33" t="n">
        <f aca="false">'Project Cash Flows'!E6-'Project Cash Flows'!E9-'Project Cash Flows'!E10-'Project Cash Flows'!E11-'Income Statement'!E4*Assumptions!$B$18-MAX('Income Statement'!E13,0)*Assumptions!$B$11</f>
        <v>1.2825132625</v>
      </c>
      <c r="F4" s="33" t="n">
        <f aca="false">'Project Cash Flows'!F6-'Project Cash Flows'!F9-'Project Cash Flows'!F10-'Project Cash Flows'!F11-'Income Statement'!F4*Assumptions!$B$18-MAX('Income Statement'!F13,0)*Assumptions!$B$11</f>
        <v>0.304826250000009</v>
      </c>
      <c r="G4" s="33" t="n">
        <f aca="false">'Project Cash Flows'!G6-'Project Cash Flows'!G9-'Project Cash Flows'!G10-'Project Cash Flows'!G11-'Income Statement'!G4*Assumptions!$B$18-MAX('Income Statement'!G13,0)*Assumptions!$B$11</f>
        <v>0.852518299999998</v>
      </c>
      <c r="H4" s="33" t="n">
        <f aca="false">'Project Cash Flows'!H6-'Project Cash Flows'!H9-'Project Cash Flows'!H10-'Project Cash Flows'!H11-'Income Statement'!H4*Assumptions!$B$18-MAX('Income Statement'!H13,0)*Assumptions!$B$11</f>
        <v>6.5987375625</v>
      </c>
      <c r="I4" s="33" t="n">
        <f aca="false">'Project Cash Flows'!I6-'Project Cash Flows'!I9-'Project Cash Flows'!I10-'Project Cash Flows'!I11-'Income Statement'!I4*Assumptions!$B$18-MAX('Income Statement'!I13,0)*Assumptions!$B$11</f>
        <v>11.030330075</v>
      </c>
      <c r="J4" s="33" t="n">
        <f aca="false">'Project Cash Flows'!J6-'Project Cash Flows'!J9-'Project Cash Flows'!J10-'Project Cash Flows'!J11-'Income Statement'!J4*Assumptions!$B$18-MAX('Income Statement'!J13,0)*Assumptions!$B$11</f>
        <v>13.092335525</v>
      </c>
      <c r="K4" s="33" t="n">
        <f aca="false">'Project Cash Flows'!K6-'Project Cash Flows'!K9-'Project Cash Flows'!K10-'Project Cash Flows'!K11-'Income Statement'!K4*Assumptions!$B$18-MAX('Income Statement'!K13,0)*Assumptions!$B$11</f>
        <v>21.5059698625</v>
      </c>
      <c r="L4" s="33" t="n">
        <f aca="false">'Project Cash Flows'!L6-'Project Cash Flows'!L9-'Project Cash Flows'!L10-'Project Cash Flows'!L11-'Income Statement'!L4*Assumptions!$B$18-MAX('Income Statement'!L13,0)*Assumptions!$B$11</f>
        <v>32.6395726</v>
      </c>
      <c r="M4" s="33" t="n">
        <f aca="false">'Project Cash Flows'!M6-'Project Cash Flows'!M9-'Project Cash Flows'!M10-'Project Cash Flows'!M11-'Income Statement'!M4*Assumptions!$B$18-MAX('Income Statement'!M13,0)*Assumptions!$B$11</f>
        <v>38.4063119625</v>
      </c>
      <c r="N4" s="33" t="n">
        <f aca="false">'Project Cash Flows'!N6-'Project Cash Flows'!N9-'Project Cash Flows'!N10-'Project Cash Flows'!N11-'Income Statement'!N4*Assumptions!$B$18-MAX('Income Statement'!N13,0)*Assumptions!$B$11</f>
        <v>42.5680134875</v>
      </c>
      <c r="O4" s="33" t="n">
        <f aca="false">'Project Cash Flows'!O6-'Project Cash Flows'!O9-'Project Cash Flows'!O10-'Project Cash Flows'!O11-'Income Statement'!O4*Assumptions!$B$18-MAX('Income Statement'!O13,0)*Assumptions!$B$11</f>
        <v>53.8957479375</v>
      </c>
      <c r="P4" s="33" t="n">
        <f aca="false">'Project Cash Flows'!P6-'Project Cash Flows'!P9-'Project Cash Flows'!P10-'Project Cash Flows'!P11-'Income Statement'!P4*Assumptions!$B$18-MAX('Income Statement'!P13,0)*Assumptions!$B$11</f>
        <v>61.7404793875</v>
      </c>
      <c r="Q4" s="33" t="n">
        <f aca="false">'Project Cash Flows'!Q6-'Project Cash Flows'!Q9-'Project Cash Flows'!Q10-'Project Cash Flows'!Q11-'Income Statement'!Q4*Assumptions!$B$18-MAX('Income Statement'!Q13,0)*Assumptions!$B$11</f>
        <v>66.150145325</v>
      </c>
      <c r="R4" s="33" t="n">
        <f aca="false">'Project Cash Flows'!R6-'Project Cash Flows'!R9-'Project Cash Flows'!R10-'Project Cash Flows'!R11-'Income Statement'!R4*Assumptions!$B$18-MAX('Income Statement'!R13,0)*Assumptions!$B$11</f>
        <v>76.0795108875</v>
      </c>
      <c r="S4" s="33" t="n">
        <f aca="false">'Project Cash Flows'!S6-'Project Cash Flows'!S9-'Project Cash Flows'!S10-'Project Cash Flows'!S11-'Income Statement'!S4*Assumptions!$B$18-MAX('Income Statement'!S13,0)*Assumptions!$B$11</f>
        <v>87.6960811125</v>
      </c>
      <c r="T4" s="33" t="n">
        <f aca="false">'Project Cash Flows'!T6-'Project Cash Flows'!T9-'Project Cash Flows'!T10-'Project Cash Flows'!T11-'Income Statement'!T4*Assumptions!$B$18-MAX('Income Statement'!T13,0)*Assumptions!$B$11</f>
        <v>89.8422</v>
      </c>
      <c r="U4" s="33" t="n">
        <f aca="false">'Project Cash Flows'!U6-'Project Cash Flows'!U9-'Project Cash Flows'!U10-'Project Cash Flows'!U11-'Income Statement'!U4*Assumptions!$B$18-MAX('Income Statement'!U13,0)*Assumptions!$B$11</f>
        <v>77.8202</v>
      </c>
      <c r="V4" s="33" t="n">
        <f aca="false">'Project Cash Flows'!V6-'Project Cash Flows'!V9-'Project Cash Flows'!V10-'Project Cash Flows'!V11-'Income Statement'!V4*Assumptions!$B$18-MAX('Income Statement'!V13,0)*Assumptions!$B$11</f>
        <v>59.0402</v>
      </c>
      <c r="W4" s="33" t="n">
        <f aca="false">'Project Cash Flows'!W6-'Project Cash Flows'!W9-'Project Cash Flows'!W10-'Project Cash Flows'!W11-'Income Statement'!W4*Assumptions!$B$18-MAX('Income Statement'!W13,0)*Assumptions!$B$11</f>
        <v>37.6308</v>
      </c>
      <c r="X4" s="33" t="n">
        <f aca="false">'Project Cash Flows'!X6-'Project Cash Flows'!X9-'Project Cash Flows'!X10-'Project Cash Flows'!X11-'Income Statement'!X4*Assumptions!$B$18-MAX('Income Statement'!X13,0)*Assumptions!$B$11</f>
        <v>13.2243</v>
      </c>
      <c r="Y4" s="33" t="n">
        <f aca="false">'Project Cash Flows'!Y6-'Project Cash Flows'!Y9-'Project Cash Flows'!Y10-'Project Cash Flows'!Y11-'Income Statement'!Y4*Assumptions!$B$18-MAX('Income Statement'!Y13,0)*Assumptions!$B$11</f>
        <v>0</v>
      </c>
    </row>
    <row r="5" customFormat="false" ht="15" hidden="false" customHeight="true" outlineLevel="0" collapsed="false">
      <c r="A5" s="12" t="s">
        <v>259</v>
      </c>
      <c r="C5" s="47" t="n">
        <f aca="false">1/(1+Assumptions!$B$10)^1</f>
        <v>0.847457627118644</v>
      </c>
      <c r="D5" s="47" t="n">
        <f aca="false">1/(1+Assumptions!$B$10)^2</f>
        <v>0.718184429761563</v>
      </c>
      <c r="E5" s="47" t="n">
        <f aca="false">1/(1+Assumptions!$B$10)^3</f>
        <v>0.608630872679291</v>
      </c>
      <c r="F5" s="47" t="n">
        <f aca="false">1/(1+Assumptions!$B$10)^4</f>
        <v>0.515788875151941</v>
      </c>
      <c r="G5" s="47" t="n">
        <f aca="false">1/(1+Assumptions!$B$10)^5</f>
        <v>0.437109216230459</v>
      </c>
      <c r="H5" s="47" t="n">
        <f aca="false">1/(1+Assumptions!$B$10)^6</f>
        <v>0.370431539178355</v>
      </c>
      <c r="I5" s="47" t="n">
        <f aca="false">1/(1+Assumptions!$B$10)^7</f>
        <v>0.313925033201996</v>
      </c>
      <c r="J5" s="47" t="n">
        <f aca="false">1/(1+Assumptions!$B$10)^8</f>
        <v>0.266038163730505</v>
      </c>
      <c r="K5" s="47" t="n">
        <f aca="false">1/(1+Assumptions!$B$10)^9</f>
        <v>0.225456070958055</v>
      </c>
      <c r="L5" s="47" t="n">
        <f aca="false">1/(1+Assumptions!$B$10)^10</f>
        <v>0.191064466913606</v>
      </c>
      <c r="M5" s="47" t="n">
        <f aca="false">1/(1+Assumptions!$B$10)^11</f>
        <v>0.161919039757293</v>
      </c>
      <c r="N5" s="47" t="n">
        <f aca="false">1/(1+Assumptions!$B$10)^12</f>
        <v>0.137219525218045</v>
      </c>
      <c r="O5" s="47" t="n">
        <f aca="false">1/(1+Assumptions!$B$10)^13</f>
        <v>0.116287733235631</v>
      </c>
      <c r="P5" s="47" t="n">
        <f aca="false">1/(1+Assumptions!$B$10)^14</f>
        <v>0.0985489264708741</v>
      </c>
      <c r="Q5" s="47" t="n">
        <f aca="false">1/(1+Assumptions!$B$10)^15</f>
        <v>0.0835160393820967</v>
      </c>
      <c r="R5" s="47" t="n">
        <f aca="false">1/(1+Assumptions!$B$10)^16</f>
        <v>0.0707763045610989</v>
      </c>
      <c r="S5" s="47" t="n">
        <f aca="false">1/(1+Assumptions!$B$10)^17</f>
        <v>0.0599799191195753</v>
      </c>
      <c r="T5" s="47" t="n">
        <f aca="false">1/(1+Assumptions!$B$10)^18</f>
        <v>0.0508304399318435</v>
      </c>
      <c r="U5" s="47" t="n">
        <f aca="false">1/(1+Assumptions!$B$10)^19</f>
        <v>0.0430766440100369</v>
      </c>
      <c r="V5" s="47" t="n">
        <f aca="false">1/(1+Assumptions!$B$10)^20</f>
        <v>0.0365056305169804</v>
      </c>
      <c r="W5" s="47" t="n">
        <f aca="false">1/(1+Assumptions!$B$10)^21</f>
        <v>0.0309369750143902</v>
      </c>
      <c r="X5" s="47" t="n">
        <f aca="false">1/(1+Assumptions!$B$10)^22</f>
        <v>0.0262177754359239</v>
      </c>
      <c r="Y5" s="47" t="n">
        <f aca="false">1/(1+Assumptions!$B$10)^23</f>
        <v>0.0222184537592575</v>
      </c>
    </row>
    <row r="6" customFormat="false" ht="15" hidden="false" customHeight="true" outlineLevel="0" collapsed="false">
      <c r="A6" s="10" t="s">
        <v>260</v>
      </c>
      <c r="C6" s="33" t="n">
        <f aca="false">C4*C5</f>
        <v>2.59912371822034</v>
      </c>
      <c r="D6" s="33" t="n">
        <f aca="false">D4*D5</f>
        <v>1.63024920101983</v>
      </c>
      <c r="E6" s="33" t="n">
        <f aca="false">E4*E5</f>
        <v>0.780577166178141</v>
      </c>
      <c r="F6" s="33" t="n">
        <f aca="false">F4*F5</f>
        <v>0.157225988604289</v>
      </c>
      <c r="G6" s="33" t="n">
        <f aca="false">G4*G5</f>
        <v>0.372643605935122</v>
      </c>
      <c r="H6" s="33" t="n">
        <f aca="false">H4*H5</f>
        <v>2.4443805119109</v>
      </c>
      <c r="I6" s="33" t="n">
        <f aca="false">I4*I5</f>
        <v>3.46269673502335</v>
      </c>
      <c r="J6" s="33" t="n">
        <f aca="false">J4*J5</f>
        <v>3.48306090201466</v>
      </c>
      <c r="K6" s="33" t="n">
        <f aca="false">K4*K5</f>
        <v>4.84865146734159</v>
      </c>
      <c r="L6" s="33" t="n">
        <f aca="false">L4*L5</f>
        <v>6.23626253910694</v>
      </c>
      <c r="M6" s="33" t="n">
        <f aca="false">M4*M5</f>
        <v>6.21871315358704</v>
      </c>
      <c r="N6" s="33" t="n">
        <f aca="false">N4*N5</f>
        <v>5.84116260023009</v>
      </c>
      <c r="O6" s="33" t="n">
        <f aca="false">O4*O5</f>
        <v>6.26741435869083</v>
      </c>
      <c r="P6" s="33" t="n">
        <f aca="false">P4*P5</f>
        <v>6.08445796343526</v>
      </c>
      <c r="Q6" s="33" t="n">
        <f aca="false">Q4*Q5</f>
        <v>5.52459814209412</v>
      </c>
      <c r="R6" s="33" t="n">
        <f aca="false">R4*R5</f>
        <v>5.38462663343314</v>
      </c>
      <c r="S6" s="33" t="n">
        <f aca="false">S4*S5</f>
        <v>5.26000385223147</v>
      </c>
      <c r="T6" s="33" t="n">
        <f aca="false">T4*T5</f>
        <v>4.56671855044467</v>
      </c>
      <c r="U6" s="33" t="n">
        <f aca="false">U4*U5</f>
        <v>3.35223305218987</v>
      </c>
      <c r="V6" s="33" t="n">
        <f aca="false">V4*V5</f>
        <v>2.15529972684863</v>
      </c>
      <c r="W6" s="33" t="n">
        <f aca="false">W4*W5</f>
        <v>1.16418311937151</v>
      </c>
      <c r="X6" s="33" t="n">
        <f aca="false">X4*X5</f>
        <v>0.346711727697288</v>
      </c>
      <c r="Y6" s="33" t="n">
        <f aca="false">Y4*Y5</f>
        <v>0</v>
      </c>
    </row>
    <row r="9" customFormat="false" ht="15" hidden="false" customHeight="true" outlineLevel="0" collapsed="false">
      <c r="A9" s="10" t="s">
        <v>261</v>
      </c>
      <c r="B9" s="35" t="n">
        <f aca="false">SUM(C6:Y6)</f>
        <v>78.1809947156091</v>
      </c>
    </row>
    <row r="10" customFormat="false" ht="15" hidden="false" customHeight="true" outlineLevel="0" collapsed="false">
      <c r="A10" s="12" t="s">
        <v>262</v>
      </c>
      <c r="B10" s="33" t="n">
        <f aca="false">Assumptions!$B$22*(1+Assumptions!$B$21)/(Assumptions!$B$10-Assumptions!$B$21)*Y5</f>
        <v>5.38370225705086</v>
      </c>
    </row>
    <row r="11" customFormat="false" ht="15" hidden="false" customHeight="true" outlineLevel="0" collapsed="false">
      <c r="A11" s="12" t="s">
        <v>263</v>
      </c>
      <c r="B11" s="33" t="n">
        <f aca="false">-Assumptions!$B$5</f>
        <v>-12</v>
      </c>
    </row>
    <row r="12" customFormat="false" ht="15" hidden="false" customHeight="true" outlineLevel="0" collapsed="false">
      <c r="A12" s="10" t="s">
        <v>264</v>
      </c>
      <c r="B12" s="48" t="n">
        <f aca="false">B9+B10+B11</f>
        <v>71.5646969726599</v>
      </c>
    </row>
    <row r="13" customFormat="false" ht="15" hidden="false" customHeight="true" outlineLevel="0" collapsed="false">
      <c r="A13" s="12" t="s">
        <v>43</v>
      </c>
      <c r="B13" s="33" t="n">
        <f aca="false">Assumptions!$B$4</f>
        <v>2.8599</v>
      </c>
    </row>
    <row r="14" customFormat="false" ht="15" hidden="false" customHeight="true" outlineLevel="0" collapsed="false">
      <c r="A14" s="10" t="s">
        <v>265</v>
      </c>
      <c r="B14" s="49" t="n">
        <f aca="false">B12/B13</f>
        <v>25.0234962665338</v>
      </c>
    </row>
    <row r="17" customFormat="false" ht="15" hidden="false" customHeight="true" outlineLevel="0" collapsed="false">
      <c r="A17" s="8" t="s">
        <v>266</v>
      </c>
      <c r="B17" s="9"/>
      <c r="C17" s="9"/>
      <c r="D17" s="9"/>
      <c r="E17" s="9"/>
    </row>
    <row r="18" customFormat="false" ht="15" hidden="false" customHeight="true" outlineLevel="0" collapsed="false">
      <c r="A18" s="50" t="s">
        <v>65</v>
      </c>
      <c r="B18" s="50" t="s">
        <v>267</v>
      </c>
      <c r="C18" s="50" t="s">
        <v>268</v>
      </c>
      <c r="D18" s="50" t="s">
        <v>269</v>
      </c>
    </row>
    <row r="19" customFormat="false" ht="15" hidden="false" customHeight="true" outlineLevel="0" collapsed="false">
      <c r="A19" s="12" t="s">
        <v>77</v>
      </c>
      <c r="B19" s="51" t="n">
        <v>1.041</v>
      </c>
      <c r="C19" s="16" t="n">
        <f aca="false">Assumptions!$K$29</f>
        <v>0.8</v>
      </c>
      <c r="D19" s="51" t="n">
        <f aca="false">B19*C19</f>
        <v>0.8328</v>
      </c>
    </row>
    <row r="20" customFormat="false" ht="15" hidden="false" customHeight="true" outlineLevel="0" collapsed="false">
      <c r="A20" s="12" t="s">
        <v>79</v>
      </c>
      <c r="B20" s="51" t="n">
        <v>0.3202</v>
      </c>
      <c r="C20" s="16" t="n">
        <f aca="false">Assumptions!$K$30</f>
        <v>0.85</v>
      </c>
      <c r="D20" s="51" t="n">
        <f aca="false">B20*C20</f>
        <v>0.27217</v>
      </c>
    </row>
    <row r="21" customFormat="false" ht="15" hidden="false" customHeight="true" outlineLevel="0" collapsed="false">
      <c r="A21" s="12" t="s">
        <v>80</v>
      </c>
      <c r="B21" s="51" t="n">
        <v>1.2863</v>
      </c>
      <c r="C21" s="16" t="n">
        <f aca="false">Assumptions!$K$31</f>
        <v>0.55</v>
      </c>
      <c r="D21" s="51" t="n">
        <f aca="false">B21*C21</f>
        <v>0.707465</v>
      </c>
    </row>
    <row r="22" customFormat="false" ht="15" hidden="false" customHeight="true" outlineLevel="0" collapsed="false">
      <c r="A22" s="12" t="s">
        <v>82</v>
      </c>
      <c r="B22" s="51" t="n">
        <v>0.4137</v>
      </c>
      <c r="C22" s="16" t="n">
        <f aca="false">Assumptions!$K$32</f>
        <v>0.8</v>
      </c>
      <c r="D22" s="51" t="n">
        <f aca="false">B22*C22</f>
        <v>0.33096</v>
      </c>
    </row>
    <row r="23" customFormat="false" ht="15" hidden="false" customHeight="true" outlineLevel="0" collapsed="false">
      <c r="A23" s="12" t="s">
        <v>84</v>
      </c>
      <c r="B23" s="51" t="n">
        <v>0.421</v>
      </c>
      <c r="C23" s="16" t="n">
        <f aca="false">Assumptions!$K$33</f>
        <v>0.85</v>
      </c>
      <c r="D23" s="51" t="n">
        <f aca="false">B23*C23</f>
        <v>0.35785</v>
      </c>
    </row>
    <row r="24" customFormat="false" ht="15" hidden="false" customHeight="true" outlineLevel="0" collapsed="false">
      <c r="A24" s="12" t="s">
        <v>86</v>
      </c>
      <c r="B24" s="51" t="n">
        <v>0.0607</v>
      </c>
      <c r="C24" s="16" t="n">
        <f aca="false">Assumptions!$K$34</f>
        <v>0.8</v>
      </c>
      <c r="D24" s="51" t="n">
        <f aca="false">B24*C24</f>
        <v>0.04856</v>
      </c>
    </row>
    <row r="25" customFormat="false" ht="15" hidden="false" customHeight="true" outlineLevel="0" collapsed="false">
      <c r="A25" s="12" t="s">
        <v>88</v>
      </c>
      <c r="B25" s="51" t="n">
        <v>0.2067</v>
      </c>
      <c r="C25" s="16" t="n">
        <f aca="false">Assumptions!$K$35</f>
        <v>0.7</v>
      </c>
      <c r="D25" s="51" t="n">
        <f aca="false">B25*C25</f>
        <v>0.14469</v>
      </c>
    </row>
    <row r="26" customFormat="false" ht="15" hidden="false" customHeight="true" outlineLevel="0" collapsed="false">
      <c r="A26" s="12" t="s">
        <v>90</v>
      </c>
      <c r="B26" s="51" t="n">
        <v>1.0688</v>
      </c>
      <c r="C26" s="16" t="n">
        <f aca="false">Assumptions!$K$36</f>
        <v>0.8</v>
      </c>
      <c r="D26" s="51" t="n">
        <f aca="false">B26*C26</f>
        <v>0.85504</v>
      </c>
    </row>
    <row r="27" customFormat="false" ht="15" hidden="false" customHeight="true" outlineLevel="0" collapsed="false">
      <c r="A27" s="12" t="s">
        <v>92</v>
      </c>
      <c r="B27" s="51" t="n">
        <v>0.1166</v>
      </c>
      <c r="C27" s="16" t="n">
        <f aca="false">Assumptions!$K$37</f>
        <v>0.75</v>
      </c>
      <c r="D27" s="51" t="n">
        <f aca="false">B27*C27</f>
        <v>0.08745</v>
      </c>
    </row>
    <row r="28" customFormat="false" ht="15" hidden="false" customHeight="true" outlineLevel="0" collapsed="false">
      <c r="A28" s="12" t="s">
        <v>94</v>
      </c>
      <c r="B28" s="51" t="n">
        <v>0.1116</v>
      </c>
      <c r="C28" s="16" t="n">
        <f aca="false">Assumptions!$K$38</f>
        <v>0.85</v>
      </c>
      <c r="D28" s="51" t="n">
        <f aca="false">B28*C28</f>
        <v>0.09486</v>
      </c>
    </row>
    <row r="29" customFormat="false" ht="15" hidden="false" customHeight="true" outlineLevel="0" collapsed="false">
      <c r="A29" s="12" t="s">
        <v>96</v>
      </c>
      <c r="B29" s="51" t="n">
        <v>0.4235</v>
      </c>
      <c r="C29" s="16" t="n">
        <f aca="false">Assumptions!$K$39</f>
        <v>0.9</v>
      </c>
      <c r="D29" s="51" t="n">
        <f aca="false">B29*C29</f>
        <v>0.38115</v>
      </c>
    </row>
    <row r="30" customFormat="false" ht="15" hidden="false" customHeight="true" outlineLevel="0" collapsed="false">
      <c r="A30" s="12" t="s">
        <v>98</v>
      </c>
      <c r="B30" s="51" t="n">
        <v>4.2121</v>
      </c>
      <c r="C30" s="16" t="n">
        <f aca="false">Assumptions!$K$40</f>
        <v>0.55</v>
      </c>
      <c r="D30" s="51" t="n">
        <f aca="false">B30*C30</f>
        <v>2.316655</v>
      </c>
    </row>
    <row r="31" customFormat="false" ht="15" hidden="false" customHeight="true" outlineLevel="0" collapsed="false">
      <c r="A31" s="12" t="s">
        <v>100</v>
      </c>
      <c r="B31" s="51" t="n">
        <v>2.613</v>
      </c>
      <c r="C31" s="16" t="n">
        <f aca="false">Assumptions!$K$41</f>
        <v>0.45</v>
      </c>
      <c r="D31" s="51" t="n">
        <f aca="false">B31*C31</f>
        <v>1.17585</v>
      </c>
    </row>
    <row r="32" customFormat="false" ht="15" hidden="false" customHeight="true" outlineLevel="0" collapsed="false">
      <c r="A32" s="12" t="s">
        <v>101</v>
      </c>
      <c r="B32" s="51" t="n">
        <v>5.9153</v>
      </c>
      <c r="C32" s="16" t="n">
        <f aca="false">Assumptions!$K$42</f>
        <v>0.6</v>
      </c>
      <c r="D32" s="51" t="n">
        <f aca="false">B32*C32</f>
        <v>3.54918</v>
      </c>
    </row>
    <row r="33" customFormat="false" ht="15" hidden="false" customHeight="true" outlineLevel="0" collapsed="false">
      <c r="A33" s="12" t="s">
        <v>103</v>
      </c>
      <c r="B33" s="51" t="n">
        <v>1.3941</v>
      </c>
      <c r="C33" s="16" t="n">
        <f aca="false">Assumptions!$K$43</f>
        <v>0.4</v>
      </c>
      <c r="D33" s="51" t="n">
        <f aca="false">B33*C33</f>
        <v>0.55764</v>
      </c>
    </row>
    <row r="34" customFormat="false" ht="15" hidden="false" customHeight="true" outlineLevel="0" collapsed="false">
      <c r="A34" s="12" t="s">
        <v>191</v>
      </c>
      <c r="B34" s="51" t="n">
        <v>7.6299</v>
      </c>
      <c r="C34" s="23" t="n">
        <v>0.95</v>
      </c>
      <c r="D34" s="51" t="n">
        <f aca="false">B34*C34</f>
        <v>7.248405</v>
      </c>
    </row>
    <row r="35" customFormat="false" ht="15" hidden="false" customHeight="true" outlineLevel="0" collapsed="false">
      <c r="A35" s="12" t="s">
        <v>270</v>
      </c>
      <c r="B35" s="51" t="n">
        <v>1.8825</v>
      </c>
      <c r="C35" s="23" t="n">
        <v>0.6</v>
      </c>
      <c r="D35" s="51" t="n">
        <f aca="false">B35*C35</f>
        <v>1.1295</v>
      </c>
    </row>
    <row r="36" customFormat="false" ht="15" hidden="false" customHeight="true" outlineLevel="0" collapsed="false">
      <c r="A36" s="10" t="s">
        <v>271</v>
      </c>
      <c r="B36" s="52" t="n">
        <f aca="false">SUM(B19:B35)</f>
        <v>29.117</v>
      </c>
      <c r="D36" s="52" t="n">
        <f aca="false">SUM(D19:D35)</f>
        <v>20.090225</v>
      </c>
    </row>
    <row r="37" customFormat="false" ht="15" hidden="false" customHeight="true" outlineLevel="0" collapsed="false">
      <c r="A37" s="12" t="s">
        <v>272</v>
      </c>
      <c r="B37" s="51" t="n">
        <f aca="false">-Assumptions!$B$5/Assumptions!$B$4</f>
        <v>-4.19595090737438</v>
      </c>
      <c r="D37" s="51" t="n">
        <f aca="false">-Assumptions!$B$5/Assumptions!$B$4</f>
        <v>-4.19595090737438</v>
      </c>
    </row>
    <row r="38" customFormat="false" ht="15" hidden="false" customHeight="true" outlineLevel="0" collapsed="false">
      <c r="A38" s="53" t="s">
        <v>273</v>
      </c>
      <c r="B38" s="49" t="n">
        <f aca="false">B36+B37</f>
        <v>24.9210490926256</v>
      </c>
      <c r="C38" s="42" t="s">
        <v>274</v>
      </c>
      <c r="D38" s="49" t="n">
        <f aca="false">D36+D37</f>
        <v>15.8942740926256</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5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4" width="34"/>
    <col collapsed="false" customWidth="true" hidden="false" outlineLevel="0" max="7" min="2" style="4" width="12"/>
    <col collapsed="false" customWidth="true" hidden="false" outlineLevel="0" max="8" min="8" style="4" width="26"/>
  </cols>
  <sheetData>
    <row r="1" customFormat="false" ht="15" hidden="false" customHeight="true" outlineLevel="0" collapsed="false">
      <c r="A1" s="54" t="s">
        <v>275</v>
      </c>
    </row>
    <row r="2" customFormat="false" ht="25.5" hidden="false" customHeight="true" outlineLevel="0" collapsed="false">
      <c r="A2" s="55" t="s">
        <v>276</v>
      </c>
      <c r="B2" s="55"/>
      <c r="C2" s="55"/>
      <c r="D2" s="55"/>
      <c r="E2" s="55"/>
      <c r="F2" s="55"/>
      <c r="G2" s="55"/>
      <c r="H2" s="55"/>
    </row>
    <row r="4" customFormat="false" ht="15" hidden="false" customHeight="true" outlineLevel="0" collapsed="false">
      <c r="A4" s="56" t="s">
        <v>277</v>
      </c>
      <c r="B4" s="6"/>
      <c r="C4" s="6"/>
      <c r="D4" s="6"/>
      <c r="E4" s="6"/>
      <c r="F4" s="6"/>
      <c r="G4" s="6"/>
      <c r="H4" s="6"/>
    </row>
    <row r="5" customFormat="false" ht="15" hidden="false" customHeight="true" outlineLevel="0" collapsed="false">
      <c r="A5" s="57" t="s">
        <v>278</v>
      </c>
      <c r="B5" s="58" t="n">
        <v>15</v>
      </c>
    </row>
    <row r="6" customFormat="false" ht="15" hidden="false" customHeight="true" outlineLevel="0" collapsed="false">
      <c r="A6" s="57" t="s">
        <v>279</v>
      </c>
      <c r="B6" s="27" t="n">
        <v>20</v>
      </c>
    </row>
    <row r="7" customFormat="false" ht="15" hidden="false" customHeight="true" outlineLevel="0" collapsed="false">
      <c r="A7" s="57" t="s">
        <v>280</v>
      </c>
      <c r="B7" s="27" t="n">
        <v>60</v>
      </c>
    </row>
    <row r="8" customFormat="false" ht="15" hidden="false" customHeight="true" outlineLevel="0" collapsed="false">
      <c r="A8" s="57" t="s">
        <v>281</v>
      </c>
      <c r="B8" s="23" t="n">
        <v>0.205</v>
      </c>
    </row>
    <row r="9" customFormat="false" ht="15" hidden="false" customHeight="true" outlineLevel="0" collapsed="false">
      <c r="A9" s="57" t="s">
        <v>282</v>
      </c>
      <c r="B9" s="58" t="n">
        <v>14.11</v>
      </c>
    </row>
    <row r="10" customFormat="false" ht="15" hidden="false" customHeight="true" outlineLevel="0" collapsed="false">
      <c r="A10" s="57" t="s">
        <v>283</v>
      </c>
      <c r="B10" s="58" t="n">
        <v>15.55</v>
      </c>
    </row>
    <row r="11" customFormat="false" ht="15" hidden="false" customHeight="true" outlineLevel="0" collapsed="false">
      <c r="A11" s="57" t="s">
        <v>284</v>
      </c>
      <c r="B11" s="58" t="n">
        <v>17.5</v>
      </c>
    </row>
    <row r="12" customFormat="false" ht="15" hidden="false" customHeight="true" outlineLevel="0" collapsed="false">
      <c r="A12" s="57" t="s">
        <v>285</v>
      </c>
      <c r="B12" s="58" t="n">
        <v>13.9</v>
      </c>
    </row>
    <row r="13" customFormat="false" ht="15" hidden="false" customHeight="true" outlineLevel="0" collapsed="false">
      <c r="A13" s="57" t="s">
        <v>286</v>
      </c>
      <c r="B13" s="58" t="n">
        <v>13.4</v>
      </c>
    </row>
    <row r="15" customFormat="false" ht="15" hidden="false" customHeight="true" outlineLevel="0" collapsed="false">
      <c r="A15" s="56" t="s">
        <v>287</v>
      </c>
      <c r="B15" s="6"/>
      <c r="C15" s="6"/>
      <c r="D15" s="6"/>
      <c r="E15" s="6"/>
      <c r="F15" s="6"/>
      <c r="G15" s="6"/>
      <c r="H15" s="6"/>
    </row>
    <row r="16" customFormat="false" ht="15" hidden="false" customHeight="true" outlineLevel="0" collapsed="false">
      <c r="A16" s="59" t="s">
        <v>288</v>
      </c>
      <c r="B16" s="60" t="s">
        <v>289</v>
      </c>
      <c r="C16" s="60" t="s">
        <v>290</v>
      </c>
      <c r="D16" s="60" t="s">
        <v>291</v>
      </c>
      <c r="E16" s="60" t="s">
        <v>292</v>
      </c>
      <c r="F16" s="60" t="s">
        <v>293</v>
      </c>
      <c r="G16" s="60" t="s">
        <v>294</v>
      </c>
      <c r="H16" s="60" t="s">
        <v>295</v>
      </c>
    </row>
    <row r="17" customFormat="false" ht="15" hidden="false" customHeight="true" outlineLevel="0" collapsed="false">
      <c r="A17" s="61" t="s">
        <v>296</v>
      </c>
      <c r="B17" s="62" t="s">
        <v>297</v>
      </c>
      <c r="C17" s="63" t="n">
        <v>0.02</v>
      </c>
      <c r="D17" s="63" t="n">
        <v>0.05</v>
      </c>
      <c r="E17" s="62" t="s">
        <v>298</v>
      </c>
      <c r="F17" s="62" t="s">
        <v>298</v>
      </c>
      <c r="G17" s="62" t="s">
        <v>298</v>
      </c>
      <c r="H17" s="61" t="s">
        <v>299</v>
      </c>
    </row>
    <row r="18" customFormat="false" ht="15" hidden="false" customHeight="true" outlineLevel="0" collapsed="false">
      <c r="A18" s="61" t="s">
        <v>300</v>
      </c>
      <c r="B18" s="62" t="s">
        <v>297</v>
      </c>
      <c r="C18" s="63" t="n">
        <v>-0.025</v>
      </c>
      <c r="D18" s="63" t="n">
        <v>0.07</v>
      </c>
      <c r="E18" s="62" t="s">
        <v>298</v>
      </c>
      <c r="F18" s="62" t="s">
        <v>298</v>
      </c>
      <c r="G18" s="62" t="s">
        <v>298</v>
      </c>
      <c r="H18" s="61" t="s">
        <v>301</v>
      </c>
    </row>
    <row r="19" customFormat="false" ht="15" hidden="false" customHeight="true" outlineLevel="0" collapsed="false">
      <c r="A19" s="61" t="s">
        <v>302</v>
      </c>
      <c r="B19" s="62" t="s">
        <v>297</v>
      </c>
      <c r="C19" s="63" t="n">
        <v>0.015</v>
      </c>
      <c r="D19" s="63" t="n">
        <v>0.04</v>
      </c>
      <c r="E19" s="62" t="s">
        <v>298</v>
      </c>
      <c r="F19" s="62" t="s">
        <v>298</v>
      </c>
      <c r="G19" s="62" t="s">
        <v>298</v>
      </c>
      <c r="H19" s="61" t="s">
        <v>303</v>
      </c>
    </row>
    <row r="20" customFormat="false" ht="15" hidden="false" customHeight="true" outlineLevel="0" collapsed="false">
      <c r="A20" s="61" t="s">
        <v>304</v>
      </c>
      <c r="B20" s="62" t="s">
        <v>297</v>
      </c>
      <c r="C20" s="63" t="n">
        <v>0.015</v>
      </c>
      <c r="D20" s="63" t="n">
        <v>0.08</v>
      </c>
      <c r="E20" s="62" t="s">
        <v>298</v>
      </c>
      <c r="F20" s="62" t="s">
        <v>298</v>
      </c>
      <c r="G20" s="62" t="s">
        <v>298</v>
      </c>
      <c r="H20" s="61" t="s">
        <v>305</v>
      </c>
    </row>
    <row r="21" customFormat="false" ht="15" hidden="false" customHeight="true" outlineLevel="0" collapsed="false">
      <c r="A21" s="61" t="s">
        <v>306</v>
      </c>
      <c r="B21" s="62" t="s">
        <v>297</v>
      </c>
      <c r="C21" s="63" t="n">
        <v>0.005</v>
      </c>
      <c r="D21" s="63" t="n">
        <v>0.04</v>
      </c>
      <c r="E21" s="62" t="s">
        <v>298</v>
      </c>
      <c r="F21" s="62" t="s">
        <v>298</v>
      </c>
      <c r="G21" s="62" t="s">
        <v>298</v>
      </c>
      <c r="H21" s="61" t="s">
        <v>307</v>
      </c>
    </row>
    <row r="22" customFormat="false" ht="15" hidden="false" customHeight="true" outlineLevel="0" collapsed="false">
      <c r="A22" s="61" t="s">
        <v>308</v>
      </c>
      <c r="B22" s="62" t="s">
        <v>309</v>
      </c>
      <c r="C22" s="62" t="s">
        <v>298</v>
      </c>
      <c r="D22" s="62" t="s">
        <v>298</v>
      </c>
      <c r="E22" s="64" t="n">
        <v>0.3</v>
      </c>
      <c r="F22" s="63" t="n">
        <v>-0.12</v>
      </c>
      <c r="G22" s="63" t="n">
        <v>0.05</v>
      </c>
      <c r="H22" s="61" t="s">
        <v>310</v>
      </c>
    </row>
    <row r="23" customFormat="false" ht="15" hidden="false" customHeight="true" outlineLevel="0" collapsed="false">
      <c r="A23" s="61" t="s">
        <v>311</v>
      </c>
      <c r="B23" s="62" t="s">
        <v>309</v>
      </c>
      <c r="C23" s="62" t="s">
        <v>298</v>
      </c>
      <c r="D23" s="62" t="s">
        <v>298</v>
      </c>
      <c r="E23" s="64" t="n">
        <v>0.35</v>
      </c>
      <c r="F23" s="63" t="n">
        <v>0.1</v>
      </c>
      <c r="G23" s="63" t="n">
        <v>0.04</v>
      </c>
      <c r="H23" s="61" t="s">
        <v>312</v>
      </c>
    </row>
    <row r="24" customFormat="false" ht="15" hidden="false" customHeight="true" outlineLevel="0" collapsed="false">
      <c r="A24" s="61" t="s">
        <v>313</v>
      </c>
      <c r="B24" s="62" t="s">
        <v>309</v>
      </c>
      <c r="C24" s="62" t="s">
        <v>298</v>
      </c>
      <c r="D24" s="62" t="s">
        <v>298</v>
      </c>
      <c r="E24" s="64" t="n">
        <v>0.55</v>
      </c>
      <c r="F24" s="63" t="n">
        <v>0.08</v>
      </c>
      <c r="G24" s="63" t="n">
        <v>0.04</v>
      </c>
      <c r="H24" s="61" t="s">
        <v>314</v>
      </c>
    </row>
    <row r="25" customFormat="false" ht="15" hidden="false" customHeight="true" outlineLevel="0" collapsed="false">
      <c r="A25" s="61" t="s">
        <v>315</v>
      </c>
      <c r="B25" s="62" t="s">
        <v>309</v>
      </c>
      <c r="C25" s="62" t="s">
        <v>298</v>
      </c>
      <c r="D25" s="62" t="s">
        <v>298</v>
      </c>
      <c r="E25" s="64" t="n">
        <v>0.4</v>
      </c>
      <c r="F25" s="63" t="n">
        <v>0.02</v>
      </c>
      <c r="G25" s="63" t="n">
        <v>0.06</v>
      </c>
      <c r="H25" s="61" t="s">
        <v>316</v>
      </c>
    </row>
    <row r="26" customFormat="false" ht="15" hidden="false" customHeight="true" outlineLevel="0" collapsed="false">
      <c r="A26" s="61" t="s">
        <v>317</v>
      </c>
      <c r="B26" s="62" t="s">
        <v>309</v>
      </c>
      <c r="C26" s="62" t="s">
        <v>298</v>
      </c>
      <c r="D26" s="62" t="s">
        <v>298</v>
      </c>
      <c r="E26" s="64" t="n">
        <v>0.35</v>
      </c>
      <c r="F26" s="63" t="n">
        <v>0.02</v>
      </c>
      <c r="G26" s="63" t="n">
        <v>0.05</v>
      </c>
      <c r="H26" s="61" t="s">
        <v>318</v>
      </c>
    </row>
    <row r="28" customFormat="false" ht="15" hidden="false" customHeight="true" outlineLevel="0" collapsed="false">
      <c r="A28" s="56" t="s">
        <v>319</v>
      </c>
      <c r="B28" s="6"/>
      <c r="C28" s="6"/>
      <c r="D28" s="6"/>
      <c r="E28" s="6"/>
      <c r="F28" s="6"/>
      <c r="G28" s="6"/>
      <c r="H28" s="6"/>
    </row>
    <row r="29" customFormat="false" ht="15" hidden="false" customHeight="true" outlineLevel="0" collapsed="false">
      <c r="A29" s="65" t="s">
        <v>320</v>
      </c>
      <c r="B29" s="39" t="n">
        <f aca="false">SUM(C17:C21)+SUMPRODUCT(E22:E26,F22:F26)</f>
        <v>0.088</v>
      </c>
    </row>
    <row r="30" customFormat="false" ht="15" hidden="false" customHeight="true" outlineLevel="0" collapsed="false">
      <c r="A30" s="57" t="s">
        <v>321</v>
      </c>
      <c r="B30" s="66" t="n">
        <f aca="false">SUMSQ(D17:D21)+B8^2+SUMPRODUCT(E22:E26,F22:F26^2+G22:G26^2)-SUMPRODUCT(E22:E26^2,F22:F26^2)</f>
        <v>0.0706</v>
      </c>
    </row>
    <row r="31" customFormat="false" ht="15" hidden="false" customHeight="true" outlineLevel="0" collapsed="false">
      <c r="A31" s="65" t="s">
        <v>322</v>
      </c>
      <c r="B31" s="39" t="n">
        <f aca="false">SQRT(B30)</f>
        <v>0.265706605111728</v>
      </c>
    </row>
    <row r="32" customFormat="false" ht="15" hidden="false" customHeight="true" outlineLevel="0" collapsed="false">
      <c r="A32" s="57" t="s">
        <v>323</v>
      </c>
      <c r="B32" s="67" t="n">
        <f aca="false">B31*2</f>
        <v>0.531413210223457</v>
      </c>
      <c r="C32" s="68" t="s">
        <v>324</v>
      </c>
    </row>
    <row r="34" customFormat="false" ht="15" hidden="false" customHeight="true" outlineLevel="0" collapsed="false">
      <c r="A34" s="56" t="s">
        <v>325</v>
      </c>
      <c r="B34" s="6"/>
      <c r="C34" s="6"/>
      <c r="D34" s="6"/>
      <c r="E34" s="6"/>
      <c r="F34" s="6"/>
      <c r="G34" s="6"/>
      <c r="H34" s="6"/>
    </row>
    <row r="35" customFormat="false" ht="15" hidden="false" customHeight="true" outlineLevel="0" collapsed="false">
      <c r="A35" s="59" t="s">
        <v>326</v>
      </c>
      <c r="B35" s="60" t="s">
        <v>327</v>
      </c>
      <c r="C35" s="60" t="s">
        <v>328</v>
      </c>
      <c r="D35" s="60" t="s">
        <v>329</v>
      </c>
      <c r="E35" s="60" t="s">
        <v>330</v>
      </c>
      <c r="F35" s="60" t="s">
        <v>331</v>
      </c>
      <c r="H35" s="60" t="s">
        <v>332</v>
      </c>
    </row>
    <row r="36" customFormat="false" ht="15" hidden="false" customHeight="true" outlineLevel="0" collapsed="false">
      <c r="A36" s="69" t="s">
        <v>333</v>
      </c>
      <c r="B36" s="70" t="n">
        <f aca="false">B5*EXP(B29*20/60+-1.6449*B31*SQRT(20/60))</f>
        <v>12.0016767228994</v>
      </c>
      <c r="C36" s="70" t="n">
        <f aca="false">B5*EXP(B29*20/60+-0.6745*B31*SQRT(20/60))</f>
        <v>13.9281411382732</v>
      </c>
      <c r="D36" s="71" t="n">
        <f aca="false">B5*EXP(B29*20/60+0*B31*SQRT(20/60))</f>
        <v>15.4465168980485</v>
      </c>
      <c r="E36" s="70" t="n">
        <f aca="false">B5*EXP(B29*20/60+0.6745*B31*SQRT(20/60))</f>
        <v>17.1304183317085</v>
      </c>
      <c r="F36" s="70" t="n">
        <f aca="false">B5*EXP(B29*20/60+1.6449*B31*SQRT(20/60))</f>
        <v>19.8801292344805</v>
      </c>
    </row>
    <row r="37" customFormat="false" ht="15" hidden="false" customHeight="true" outlineLevel="0" collapsed="false">
      <c r="A37" s="72" t="s">
        <v>334</v>
      </c>
      <c r="B37" s="73" t="n">
        <v>11.93</v>
      </c>
      <c r="C37" s="73" t="n">
        <v>13.88</v>
      </c>
      <c r="D37" s="74" t="n">
        <v>15.44</v>
      </c>
      <c r="E37" s="73" t="n">
        <v>17.13</v>
      </c>
      <c r="F37" s="73" t="n">
        <v>19.99</v>
      </c>
      <c r="H37" s="75" t="s">
        <v>335</v>
      </c>
    </row>
    <row r="38" customFormat="false" ht="15" hidden="false" customHeight="true" outlineLevel="0" collapsed="false">
      <c r="A38" s="69" t="s">
        <v>336</v>
      </c>
      <c r="B38" s="70" t="n">
        <f aca="false">B5*EXP(B29*1+-1.6449*B31*SQRT(1))</f>
        <v>10.5802537106355</v>
      </c>
      <c r="C38" s="70" t="n">
        <f aca="false">B5*EXP(B29*1+-0.6745*B31*SQRT(1))</f>
        <v>13.6922652889915</v>
      </c>
      <c r="D38" s="71" t="n">
        <f aca="false">B5*EXP(B29*1+0*B31*SQRT(1))</f>
        <v>16.379821830423</v>
      </c>
      <c r="E38" s="70" t="n">
        <f aca="false">B5*EXP(B29*1+0.6745*B31*SQRT(1))</f>
        <v>19.5948995680145</v>
      </c>
      <c r="F38" s="70" t="n">
        <f aca="false">B5*EXP(B29*1+1.6449*B31*SQRT(1))</f>
        <v>25.3584243378494</v>
      </c>
    </row>
    <row r="39" customFormat="false" ht="15" hidden="false" customHeight="true" outlineLevel="0" collapsed="false">
      <c r="A39" s="72" t="s">
        <v>337</v>
      </c>
      <c r="B39" s="73" t="n">
        <v>10.53</v>
      </c>
      <c r="C39" s="73" t="n">
        <v>13.68</v>
      </c>
      <c r="D39" s="74" t="n">
        <v>16.37</v>
      </c>
      <c r="E39" s="73" t="n">
        <v>19.6</v>
      </c>
      <c r="F39" s="73" t="n">
        <v>25.35</v>
      </c>
      <c r="H39" s="75" t="s">
        <v>335</v>
      </c>
    </row>
    <row r="40" customFormat="false" ht="15" hidden="false" customHeight="true" outlineLevel="0" collapsed="false">
      <c r="A40" s="19" t="s">
        <v>338</v>
      </c>
      <c r="B40" s="76" t="n">
        <f aca="false">D38-D39</f>
        <v>0.00982183042296114</v>
      </c>
    </row>
    <row r="42" customFormat="false" ht="15" hidden="false" customHeight="true" outlineLevel="0" collapsed="false">
      <c r="A42" s="56" t="s">
        <v>339</v>
      </c>
      <c r="B42" s="6"/>
      <c r="C42" s="6"/>
      <c r="D42" s="6"/>
      <c r="E42" s="6"/>
      <c r="F42" s="6"/>
      <c r="G42" s="6"/>
      <c r="H42" s="6"/>
    </row>
    <row r="43" customFormat="false" ht="15" hidden="false" customHeight="true" outlineLevel="0" collapsed="false">
      <c r="B43" s="60" t="s">
        <v>340</v>
      </c>
      <c r="C43" s="60" t="s">
        <v>341</v>
      </c>
    </row>
    <row r="44" customFormat="false" ht="15" hidden="false" customHeight="true" outlineLevel="0" collapsed="false">
      <c r="A44" s="61" t="s">
        <v>342</v>
      </c>
      <c r="B44" s="77" t="n">
        <f aca="false">NORMSDIST((LN(B9/B5)-B29)/B31)</f>
        <v>0.28726404887322</v>
      </c>
      <c r="C44" s="78" t="n">
        <v>0.29</v>
      </c>
    </row>
    <row r="45" customFormat="false" ht="15" hidden="false" customHeight="true" outlineLevel="0" collapsed="false">
      <c r="A45" s="61" t="s">
        <v>343</v>
      </c>
      <c r="B45" s="77" t="n">
        <f aca="false">NORMSDIST((LN(B10/B5)-B29)/B31)-NORMSDIST((LN(B9/B5)-B29)/B31)</f>
        <v>0.135172024291423</v>
      </c>
      <c r="C45" s="78" t="n">
        <v>0.13</v>
      </c>
    </row>
    <row r="46" customFormat="false" ht="15" hidden="false" customHeight="true" outlineLevel="0" collapsed="false">
      <c r="A46" s="61" t="s">
        <v>344</v>
      </c>
      <c r="B46" s="77" t="n">
        <f aca="false">NORMSDIST((LN(B11/B5)-B29)/B31)-NORMSDIST((LN(B10/B5)-B29)/B31)</f>
        <v>0.175868594467434</v>
      </c>
      <c r="C46" s="78" t="n">
        <v>0.17</v>
      </c>
    </row>
    <row r="47" customFormat="false" ht="15" hidden="false" customHeight="true" outlineLevel="0" collapsed="false">
      <c r="A47" s="61" t="s">
        <v>345</v>
      </c>
      <c r="B47" s="77" t="n">
        <f aca="false">1-NORMSDIST((LN(B11/B5)-B29)/B31)</f>
        <v>0.401695332367923</v>
      </c>
      <c r="C47" s="78" t="n">
        <v>0.4</v>
      </c>
    </row>
    <row r="49" customFormat="false" ht="15" hidden="false" customHeight="true" outlineLevel="0" collapsed="false">
      <c r="A49" s="56" t="s">
        <v>346</v>
      </c>
      <c r="B49" s="6"/>
      <c r="C49" s="6"/>
      <c r="D49" s="6"/>
      <c r="E49" s="6"/>
      <c r="F49" s="6"/>
      <c r="G49" s="6"/>
      <c r="H49" s="6"/>
    </row>
    <row r="50" customFormat="false" ht="15" hidden="false" customHeight="true" outlineLevel="0" collapsed="false">
      <c r="A50" s="59" t="s">
        <v>347</v>
      </c>
      <c r="B50" s="60" t="s">
        <v>348</v>
      </c>
      <c r="C50" s="60" t="s">
        <v>349</v>
      </c>
    </row>
    <row r="51" customFormat="false" ht="15" hidden="false" customHeight="true" outlineLevel="0" collapsed="false">
      <c r="A51" s="79" t="n">
        <v>15.55</v>
      </c>
      <c r="B51" s="78" t="n">
        <v>0.76</v>
      </c>
      <c r="C51" s="78" t="n">
        <v>0.88</v>
      </c>
    </row>
    <row r="52" customFormat="false" ht="15" hidden="false" customHeight="true" outlineLevel="0" collapsed="false">
      <c r="A52" s="79" t="n">
        <v>16.5</v>
      </c>
      <c r="B52" s="78" t="n">
        <v>0.52</v>
      </c>
      <c r="C52" s="78" t="n">
        <v>0.76</v>
      </c>
    </row>
    <row r="53" customFormat="false" ht="15" hidden="false" customHeight="true" outlineLevel="0" collapsed="false">
      <c r="A53" s="79" t="n">
        <v>17.5</v>
      </c>
      <c r="B53" s="78" t="n">
        <v>0.32</v>
      </c>
      <c r="C53" s="78" t="n">
        <v>0.63</v>
      </c>
    </row>
    <row r="54" customFormat="false" ht="15" hidden="false" customHeight="true" outlineLevel="0" collapsed="false">
      <c r="A54" s="79" t="n">
        <v>18.5</v>
      </c>
      <c r="B54" s="78" t="n">
        <v>0.18</v>
      </c>
      <c r="C54" s="78" t="n">
        <v>0.51</v>
      </c>
    </row>
    <row r="55" customFormat="false" ht="15" hidden="false" customHeight="true" outlineLevel="0" collapsed="false">
      <c r="A55" s="79" t="n">
        <v>20</v>
      </c>
      <c r="B55" s="78" t="n">
        <v>0.07</v>
      </c>
      <c r="C55" s="78" t="n">
        <v>0.35</v>
      </c>
    </row>
    <row r="56" customFormat="false" ht="15" hidden="false" customHeight="true" outlineLevel="0" collapsed="false">
      <c r="A56" s="61" t="s">
        <v>350</v>
      </c>
      <c r="B56" s="78" t="n">
        <v>0.47</v>
      </c>
      <c r="C56" s="78" t="n">
        <v>0.63</v>
      </c>
    </row>
    <row r="57" customFormat="false" ht="15" hidden="false" customHeight="true" outlineLevel="0" collapsed="false">
      <c r="A57" s="61" t="s">
        <v>351</v>
      </c>
      <c r="B57" s="78" t="n">
        <v>0.33</v>
      </c>
      <c r="C57" s="78" t="n">
        <v>0.52</v>
      </c>
    </row>
    <row r="58" customFormat="false" ht="15" hidden="false" customHeight="true" outlineLevel="0" collapsed="false">
      <c r="A58" s="80" t="s">
        <v>352</v>
      </c>
      <c r="B58" s="80"/>
      <c r="C58" s="80"/>
      <c r="D58" s="80"/>
      <c r="E58" s="80"/>
      <c r="F58" s="80"/>
      <c r="G58" s="80"/>
      <c r="H58" s="80"/>
    </row>
  </sheetData>
  <mergeCells count="2">
    <mergeCell ref="A2:H2"/>
    <mergeCell ref="A58:H58"/>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6" min="1" style="4" width="12"/>
  </cols>
  <sheetData>
    <row r="1" customFormat="false" ht="21.75" hidden="false" customHeight="true" outlineLevel="0" collapsed="false">
      <c r="A1" s="5" t="s">
        <v>353</v>
      </c>
      <c r="B1" s="6"/>
      <c r="C1" s="6"/>
      <c r="D1" s="6"/>
      <c r="E1" s="6"/>
      <c r="F1" s="6"/>
      <c r="G1" s="6"/>
      <c r="H1" s="6"/>
    </row>
    <row r="2" customFormat="false" ht="15" hidden="false" customHeight="true" outlineLevel="0" collapsed="false">
      <c r="A2" s="7" t="s">
        <v>354</v>
      </c>
    </row>
    <row r="3" customFormat="false" ht="15" hidden="false" customHeight="true" outlineLevel="0" collapsed="false">
      <c r="A3" s="10" t="s">
        <v>355</v>
      </c>
    </row>
    <row r="4" customFormat="false" ht="15" hidden="false" customHeight="true" outlineLevel="0" collapsed="false">
      <c r="B4" s="81" t="s">
        <v>356</v>
      </c>
    </row>
    <row r="5" customFormat="false" ht="15" hidden="false" customHeight="true" outlineLevel="0" collapsed="false">
      <c r="A5" s="50" t="s">
        <v>357</v>
      </c>
      <c r="B5" s="82" t="n">
        <v>0.05</v>
      </c>
      <c r="C5" s="82" t="n">
        <v>0.1</v>
      </c>
      <c r="D5" s="82" t="n">
        <v>0.15</v>
      </c>
      <c r="E5" s="82" t="n">
        <v>0.2</v>
      </c>
      <c r="F5" s="82" t="n">
        <v>0.25</v>
      </c>
    </row>
    <row r="6" customFormat="false" ht="15" hidden="false" customHeight="true" outlineLevel="0" collapsed="false">
      <c r="A6" s="82" t="n">
        <v>0.16</v>
      </c>
      <c r="B6" s="83" t="n">
        <v>24.08</v>
      </c>
      <c r="C6" s="83" t="n">
        <v>32.88</v>
      </c>
      <c r="D6" s="83" t="n">
        <v>41.69</v>
      </c>
      <c r="E6" s="83" t="n">
        <v>50.5</v>
      </c>
      <c r="F6" s="83" t="n">
        <v>59.3</v>
      </c>
    </row>
    <row r="7" customFormat="false" ht="15" hidden="false" customHeight="true" outlineLevel="0" collapsed="false">
      <c r="A7" s="82" t="n">
        <v>0.18</v>
      </c>
      <c r="B7" s="83" t="n">
        <v>16.45</v>
      </c>
      <c r="C7" s="84" t="n">
        <v>24.92</v>
      </c>
      <c r="D7" s="83" t="n">
        <v>33.39</v>
      </c>
      <c r="E7" s="83" t="n">
        <v>41.85</v>
      </c>
      <c r="F7" s="83" t="n">
        <v>50.32</v>
      </c>
    </row>
    <row r="8" customFormat="false" ht="15" hidden="false" customHeight="true" outlineLevel="0" collapsed="false">
      <c r="A8" s="82" t="n">
        <v>0.2</v>
      </c>
      <c r="B8" s="83" t="n">
        <v>10.99</v>
      </c>
      <c r="C8" s="83" t="n">
        <v>19.09</v>
      </c>
      <c r="D8" s="83" t="n">
        <v>27.18</v>
      </c>
      <c r="E8" s="83" t="n">
        <v>35.28</v>
      </c>
      <c r="F8" s="83" t="n">
        <v>43.37</v>
      </c>
    </row>
    <row r="9" customFormat="false" ht="15" hidden="false" customHeight="true" outlineLevel="0" collapsed="false">
      <c r="A9" s="82" t="n">
        <v>0.22</v>
      </c>
      <c r="B9" s="83" t="n">
        <v>6.99</v>
      </c>
      <c r="C9" s="83" t="n">
        <v>14.71</v>
      </c>
      <c r="D9" s="83" t="n">
        <v>22.42</v>
      </c>
      <c r="E9" s="83" t="n">
        <v>30.13</v>
      </c>
      <c r="F9" s="83" t="n">
        <v>37.84</v>
      </c>
    </row>
    <row r="10" customFormat="false" ht="15" hidden="false" customHeight="true" outlineLevel="0" collapsed="false">
      <c r="A10" s="82" t="n">
        <v>0.24</v>
      </c>
      <c r="B10" s="83" t="n">
        <v>4.02</v>
      </c>
      <c r="C10" s="83" t="n">
        <v>11.35</v>
      </c>
      <c r="D10" s="83" t="n">
        <v>18.68</v>
      </c>
      <c r="E10" s="83" t="n">
        <v>26.01</v>
      </c>
      <c r="F10" s="83" t="n">
        <v>33.34</v>
      </c>
    </row>
    <row r="13" customFormat="false" ht="15" hidden="false" customHeight="true" outlineLevel="0" collapsed="false">
      <c r="A13" s="10" t="s">
        <v>358</v>
      </c>
    </row>
    <row r="14" customFormat="false" ht="15" hidden="false" customHeight="true" outlineLevel="0" collapsed="false">
      <c r="B14" s="81" t="s">
        <v>359</v>
      </c>
    </row>
    <row r="15" customFormat="false" ht="15" hidden="false" customHeight="true" outlineLevel="0" collapsed="false">
      <c r="A15" s="50" t="s">
        <v>357</v>
      </c>
      <c r="B15" s="85" t="n">
        <v>0.85</v>
      </c>
      <c r="C15" s="85" t="n">
        <v>0.925</v>
      </c>
      <c r="D15" s="85" t="n">
        <v>1</v>
      </c>
      <c r="E15" s="85" t="n">
        <v>1.075</v>
      </c>
      <c r="F15" s="85" t="n">
        <v>1.15</v>
      </c>
    </row>
    <row r="16" customFormat="false" ht="15" hidden="false" customHeight="true" outlineLevel="0" collapsed="false">
      <c r="A16" s="82" t="n">
        <v>0.16</v>
      </c>
      <c r="B16" s="83" t="n">
        <v>23.66</v>
      </c>
      <c r="C16" s="83" t="n">
        <v>28.29</v>
      </c>
      <c r="D16" s="83" t="n">
        <v>32.88</v>
      </c>
      <c r="E16" s="83" t="n">
        <v>37.45</v>
      </c>
      <c r="F16" s="83" t="n">
        <v>42.02</v>
      </c>
    </row>
    <row r="17" customFormat="false" ht="15" hidden="false" customHeight="true" outlineLevel="0" collapsed="false">
      <c r="A17" s="82" t="n">
        <v>0.18</v>
      </c>
      <c r="B17" s="83" t="n">
        <v>17.24</v>
      </c>
      <c r="C17" s="83" t="n">
        <v>21.09</v>
      </c>
      <c r="D17" s="84" t="n">
        <v>24.92</v>
      </c>
      <c r="E17" s="83" t="n">
        <v>28.73</v>
      </c>
      <c r="F17" s="83" t="n">
        <v>32.53</v>
      </c>
    </row>
    <row r="18" customFormat="false" ht="15" hidden="false" customHeight="true" outlineLevel="0" collapsed="false">
      <c r="A18" s="82" t="n">
        <v>0.2</v>
      </c>
      <c r="B18" s="83" t="n">
        <v>12.63</v>
      </c>
      <c r="C18" s="83" t="n">
        <v>15.87</v>
      </c>
      <c r="D18" s="83" t="n">
        <v>19.09</v>
      </c>
      <c r="E18" s="83" t="n">
        <v>22.29</v>
      </c>
      <c r="F18" s="83" t="n">
        <v>25.48</v>
      </c>
    </row>
    <row r="19" customFormat="false" ht="15" hidden="false" customHeight="true" outlineLevel="0" collapsed="false">
      <c r="A19" s="82" t="n">
        <v>0.22</v>
      </c>
      <c r="B19" s="83" t="n">
        <v>9.23</v>
      </c>
      <c r="C19" s="83" t="n">
        <v>11.98</v>
      </c>
      <c r="D19" s="83" t="n">
        <v>14.71</v>
      </c>
      <c r="E19" s="83" t="n">
        <v>17.42</v>
      </c>
      <c r="F19" s="83" t="n">
        <v>20.12</v>
      </c>
    </row>
    <row r="20" customFormat="false" ht="15" hidden="false" customHeight="true" outlineLevel="0" collapsed="false">
      <c r="A20" s="82" t="n">
        <v>0.24</v>
      </c>
      <c r="B20" s="83" t="n">
        <v>6.67</v>
      </c>
      <c r="C20" s="83" t="n">
        <v>9.02</v>
      </c>
      <c r="D20" s="83" t="n">
        <v>11.35</v>
      </c>
      <c r="E20" s="83" t="n">
        <v>13.66</v>
      </c>
      <c r="F20" s="83" t="n">
        <v>15.98</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2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4" width="52"/>
    <col collapsed="false" customWidth="true" hidden="false" outlineLevel="0" max="3" min="2" style="4" width="14"/>
  </cols>
  <sheetData>
    <row r="1" customFormat="false" ht="21.75" hidden="false" customHeight="true" outlineLevel="0" collapsed="false">
      <c r="A1" s="5" t="s">
        <v>17</v>
      </c>
      <c r="B1" s="6"/>
      <c r="C1" s="6"/>
      <c r="D1" s="6"/>
      <c r="E1" s="6"/>
      <c r="F1" s="6"/>
    </row>
    <row r="2" customFormat="false" ht="15" hidden="false" customHeight="true" outlineLevel="0" collapsed="false">
      <c r="A2" s="7" t="s">
        <v>18</v>
      </c>
    </row>
    <row r="4" customFormat="false" ht="15" hidden="false" customHeight="true" outlineLevel="0" collapsed="false">
      <c r="A4" s="8" t="s">
        <v>19</v>
      </c>
      <c r="B4" s="9"/>
      <c r="C4" s="9"/>
      <c r="D4" s="9"/>
    </row>
    <row r="5" customFormat="false" ht="15" hidden="false" customHeight="true" outlineLevel="0" collapsed="false">
      <c r="A5" s="10" t="s">
        <v>20</v>
      </c>
      <c r="B5" s="11" t="n">
        <f aca="false">Valuation!B14</f>
        <v>25.0234962665338</v>
      </c>
    </row>
    <row r="6" customFormat="false" ht="15" hidden="false" customHeight="true" outlineLevel="0" collapsed="false">
      <c r="A6" s="10" t="s">
        <v>21</v>
      </c>
      <c r="B6" s="11" t="n">
        <f aca="false">Valuation!D38</f>
        <v>15.8942740926256</v>
      </c>
    </row>
    <row r="7" customFormat="false" ht="15" hidden="false" customHeight="true" outlineLevel="0" collapsed="false">
      <c r="A7" s="12" t="s">
        <v>22</v>
      </c>
      <c r="B7" s="13" t="n">
        <v>15</v>
      </c>
    </row>
    <row r="8" customFormat="false" ht="15" hidden="false" customHeight="true" outlineLevel="0" collapsed="false">
      <c r="A8" s="14" t="s">
        <v>23</v>
      </c>
      <c r="B8" s="15" t="n">
        <f aca="false">B5/B7-1</f>
        <v>0.668233084435584</v>
      </c>
      <c r="C8" s="15" t="n">
        <f aca="false">B6/B7-1</f>
        <v>0.0596182728417078</v>
      </c>
    </row>
    <row r="10" customFormat="false" ht="15" hidden="false" customHeight="true" outlineLevel="0" collapsed="false">
      <c r="A10" s="8" t="s">
        <v>24</v>
      </c>
      <c r="B10" s="9"/>
      <c r="C10" s="9"/>
      <c r="D10" s="9"/>
    </row>
    <row r="11" customFormat="false" ht="15" hidden="false" customHeight="true" outlineLevel="0" collapsed="false">
      <c r="A11" s="12" t="s">
        <v>25</v>
      </c>
      <c r="B11" s="16" t="n">
        <f aca="false">Assumptions!$B$10</f>
        <v>0.18</v>
      </c>
    </row>
    <row r="12" customFormat="false" ht="15" hidden="false" customHeight="true" outlineLevel="0" collapsed="false">
      <c r="A12" s="12" t="s">
        <v>26</v>
      </c>
      <c r="B12" s="16" t="n">
        <f aca="false">Assumptions!$B$14</f>
        <v>0.1</v>
      </c>
    </row>
    <row r="13" customFormat="false" ht="15" hidden="false" customHeight="true" outlineLevel="0" collapsed="false">
      <c r="A13" s="12" t="s">
        <v>27</v>
      </c>
      <c r="B13" s="16" t="n">
        <f aca="false">Assumptions!$B$13</f>
        <v>0.14</v>
      </c>
    </row>
    <row r="14" customFormat="false" ht="15" hidden="false" customHeight="true" outlineLevel="0" collapsed="false">
      <c r="A14" s="12" t="s">
        <v>28</v>
      </c>
      <c r="B14" s="17" t="n">
        <f aca="false">Assumptions!$B$5</f>
        <v>12</v>
      </c>
    </row>
    <row r="15" customFormat="false" ht="15" hidden="false" customHeight="true" outlineLevel="0" collapsed="false">
      <c r="A15" s="12" t="s">
        <v>29</v>
      </c>
      <c r="B15" s="17" t="n">
        <f aca="false">MAX('Debt Schedule'!C18:Y18)</f>
        <v>32.2941122003736</v>
      </c>
    </row>
    <row r="16" customFormat="false" ht="15" hidden="false" customHeight="true" outlineLevel="0" collapsed="false">
      <c r="A16" s="12" t="s">
        <v>30</v>
      </c>
      <c r="B16" s="17" t="n">
        <f aca="false">SUM('Income Statement'!C4:Y4)</f>
        <v>1868.9419</v>
      </c>
      <c r="C16" s="17" t="n">
        <f aca="false">SUM('Income Statement'!C18:Y18)</f>
        <v>384.619389878184</v>
      </c>
    </row>
    <row r="18" customFormat="false" ht="15" hidden="false" customHeight="true" outlineLevel="0" collapsed="false">
      <c r="A18" s="8" t="s">
        <v>31</v>
      </c>
      <c r="B18" s="9"/>
      <c r="C18" s="9"/>
      <c r="D18" s="9"/>
    </row>
    <row r="19" customFormat="false" ht="25.5" hidden="false" customHeight="true" outlineLevel="0" collapsed="false">
      <c r="A19" s="18" t="s">
        <v>32</v>
      </c>
    </row>
    <row r="20" customFormat="false" ht="25.5" hidden="false" customHeight="true" outlineLevel="0" collapsed="false">
      <c r="A20" s="18" t="s">
        <v>33</v>
      </c>
    </row>
    <row r="21" customFormat="false" ht="25.5" hidden="false" customHeight="true" outlineLevel="0" collapsed="false">
      <c r="A21" s="18" t="s">
        <v>34</v>
      </c>
    </row>
    <row r="22" customFormat="false" ht="25.5" hidden="false" customHeight="true" outlineLevel="0" collapsed="false">
      <c r="A22" s="18" t="s">
        <v>35</v>
      </c>
    </row>
    <row r="23" customFormat="false" ht="25.5" hidden="false" customHeight="true" outlineLevel="0" collapsed="false">
      <c r="A23" s="18" t="s">
        <v>36</v>
      </c>
    </row>
    <row r="24" customFormat="false" ht="25.5" hidden="false" customHeight="true" outlineLevel="0" collapsed="false">
      <c r="A24" s="18" t="s">
        <v>37</v>
      </c>
    </row>
    <row r="25" customFormat="false" ht="25.5" hidden="false" customHeight="true" outlineLevel="0" collapsed="false">
      <c r="A25" s="18" t="s">
        <v>38</v>
      </c>
    </row>
    <row r="26" customFormat="false" ht="15" hidden="false" customHeight="true" outlineLevel="0" collapsed="false">
      <c r="A26" s="19" t="s">
        <v>39</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9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4" width="30"/>
    <col collapsed="false" customWidth="true" hidden="false" outlineLevel="0" max="2" min="2" style="4" width="16"/>
    <col collapsed="false" customWidth="true" hidden="false" outlineLevel="0" max="3" min="3" style="4" width="12"/>
    <col collapsed="false" customWidth="true" hidden="false" outlineLevel="0" max="5" min="4" style="4" width="11"/>
    <col collapsed="false" customWidth="true" hidden="false" outlineLevel="0" max="6" min="6" style="4" width="9"/>
    <col collapsed="false" customWidth="true" hidden="false" outlineLevel="0" max="7" min="7" style="4" width="11"/>
    <col collapsed="false" customWidth="true" hidden="false" outlineLevel="0" max="10" min="8" style="4" width="9"/>
    <col collapsed="false" customWidth="true" hidden="false" outlineLevel="0" max="11" min="11" style="4" width="10"/>
    <col collapsed="false" customWidth="true" hidden="false" outlineLevel="0" max="12" min="12" style="4" width="9"/>
  </cols>
  <sheetData>
    <row r="1" customFormat="false" ht="21.75" hidden="false" customHeight="true" outlineLevel="0" collapsed="false">
      <c r="A1" s="5" t="s">
        <v>40</v>
      </c>
      <c r="B1" s="6"/>
      <c r="C1" s="6"/>
      <c r="D1" s="6"/>
      <c r="E1" s="6"/>
      <c r="F1" s="6"/>
      <c r="G1" s="6"/>
      <c r="H1" s="6"/>
    </row>
    <row r="2" customFormat="false" ht="15" hidden="false" customHeight="true" outlineLevel="0" collapsed="false">
      <c r="A2" s="7" t="s">
        <v>41</v>
      </c>
    </row>
    <row r="3" customFormat="false" ht="15" hidden="false" customHeight="true" outlineLevel="0" collapsed="false">
      <c r="A3" s="8" t="s">
        <v>42</v>
      </c>
      <c r="B3" s="9"/>
      <c r="C3" s="9"/>
    </row>
    <row r="4" customFormat="false" ht="15" hidden="false" customHeight="true" outlineLevel="0" collapsed="false">
      <c r="A4" s="12" t="s">
        <v>43</v>
      </c>
      <c r="B4" s="13" t="n">
        <v>2.8599</v>
      </c>
    </row>
    <row r="5" customFormat="false" ht="15" hidden="false" customHeight="true" outlineLevel="0" collapsed="false">
      <c r="A5" s="12" t="s">
        <v>28</v>
      </c>
      <c r="B5" s="20" t="n">
        <v>12</v>
      </c>
    </row>
    <row r="6" customFormat="false" ht="15" hidden="false" customHeight="true" outlineLevel="0" collapsed="false">
      <c r="A6" s="12" t="s">
        <v>44</v>
      </c>
      <c r="B6" s="21" t="n">
        <v>30</v>
      </c>
    </row>
    <row r="7" customFormat="false" ht="15" hidden="false" customHeight="true" outlineLevel="0" collapsed="false">
      <c r="A7" s="12" t="s">
        <v>45</v>
      </c>
      <c r="B7" s="21" t="n">
        <v>18</v>
      </c>
    </row>
    <row r="8" customFormat="false" ht="15" hidden="false" customHeight="true" outlineLevel="0" collapsed="false">
      <c r="A8" s="12" t="s">
        <v>46</v>
      </c>
      <c r="B8" s="21" t="n">
        <v>18.2</v>
      </c>
    </row>
    <row r="9" customFormat="false" ht="15" hidden="false" customHeight="true" outlineLevel="0" collapsed="false">
      <c r="A9" s="12" t="s">
        <v>47</v>
      </c>
      <c r="B9" s="21" t="n">
        <v>163</v>
      </c>
    </row>
    <row r="10" customFormat="false" ht="15" hidden="false" customHeight="true" outlineLevel="0" collapsed="false">
      <c r="A10" s="12" t="s">
        <v>48</v>
      </c>
      <c r="B10" s="22" t="n">
        <v>0.18</v>
      </c>
    </row>
    <row r="11" customFormat="false" ht="15" hidden="false" customHeight="true" outlineLevel="0" collapsed="false">
      <c r="A11" s="12" t="s">
        <v>49</v>
      </c>
      <c r="B11" s="23" t="n">
        <v>0.225</v>
      </c>
    </row>
    <row r="12" customFormat="false" ht="15" hidden="false" customHeight="true" outlineLevel="0" collapsed="false">
      <c r="A12" s="12" t="s">
        <v>50</v>
      </c>
      <c r="B12" s="23" t="n">
        <v>0.18</v>
      </c>
    </row>
    <row r="13" customFormat="false" ht="15" hidden="false" customHeight="true" outlineLevel="0" collapsed="false">
      <c r="A13" s="12" t="s">
        <v>27</v>
      </c>
      <c r="B13" s="23" t="n">
        <v>0.14</v>
      </c>
    </row>
    <row r="14" customFormat="false" ht="15" hidden="false" customHeight="true" outlineLevel="0" collapsed="false">
      <c r="A14" s="12" t="s">
        <v>51</v>
      </c>
      <c r="B14" s="22" t="n">
        <v>0.1</v>
      </c>
    </row>
    <row r="15" customFormat="false" ht="15" hidden="false" customHeight="true" outlineLevel="0" collapsed="false">
      <c r="A15" s="12" t="s">
        <v>52</v>
      </c>
      <c r="B15" s="22" t="n">
        <v>0.45</v>
      </c>
    </row>
    <row r="16" customFormat="false" ht="15" hidden="false" customHeight="true" outlineLevel="0" collapsed="false">
      <c r="A16" s="12" t="s">
        <v>53</v>
      </c>
      <c r="B16" s="24" t="n">
        <v>8</v>
      </c>
    </row>
    <row r="17" customFormat="false" ht="15" hidden="false" customHeight="true" outlineLevel="0" collapsed="false">
      <c r="A17" s="12" t="s">
        <v>54</v>
      </c>
      <c r="B17" s="24" t="n">
        <v>4</v>
      </c>
    </row>
    <row r="18" customFormat="false" ht="15" hidden="false" customHeight="true" outlineLevel="0" collapsed="false">
      <c r="A18" s="12" t="s">
        <v>55</v>
      </c>
      <c r="B18" s="23" t="n">
        <v>0.05</v>
      </c>
    </row>
    <row r="19" customFormat="false" ht="15" hidden="false" customHeight="true" outlineLevel="0" collapsed="false">
      <c r="A19" s="12" t="s">
        <v>56</v>
      </c>
      <c r="B19" s="23" t="n">
        <v>0.005</v>
      </c>
    </row>
    <row r="20" customFormat="false" ht="15" hidden="false" customHeight="true" outlineLevel="0" collapsed="false">
      <c r="A20" s="12" t="s">
        <v>57</v>
      </c>
      <c r="B20" s="21" t="n">
        <v>8</v>
      </c>
    </row>
    <row r="21" customFormat="false" ht="15" hidden="false" customHeight="true" outlineLevel="0" collapsed="false">
      <c r="A21" s="12" t="s">
        <v>58</v>
      </c>
      <c r="B21" s="23" t="n">
        <v>0.05</v>
      </c>
    </row>
    <row r="22" customFormat="false" ht="15" hidden="false" customHeight="true" outlineLevel="0" collapsed="false">
      <c r="A22" s="12" t="s">
        <v>59</v>
      </c>
      <c r="B22" s="21" t="n">
        <v>30</v>
      </c>
    </row>
    <row r="23" customFormat="false" ht="15" hidden="false" customHeight="true" outlineLevel="0" collapsed="false">
      <c r="A23" s="12" t="s">
        <v>60</v>
      </c>
      <c r="B23" s="21" t="n">
        <v>80</v>
      </c>
    </row>
    <row r="24" customFormat="false" ht="15" hidden="false" customHeight="true" outlineLevel="0" collapsed="false">
      <c r="A24" s="12" t="s">
        <v>61</v>
      </c>
      <c r="B24" s="21" t="n">
        <v>-40</v>
      </c>
    </row>
    <row r="25" customFormat="false" ht="15" hidden="false" customHeight="true" outlineLevel="0" collapsed="false">
      <c r="A25" s="12" t="s">
        <v>62</v>
      </c>
      <c r="B25" s="21" t="n">
        <v>65</v>
      </c>
    </row>
    <row r="26" customFormat="false" ht="15" hidden="false" customHeight="true" outlineLevel="0" collapsed="false">
      <c r="A26" s="12" t="s">
        <v>63</v>
      </c>
      <c r="B26" s="21" t="n">
        <v>30</v>
      </c>
    </row>
    <row r="27" customFormat="false" ht="15" hidden="false" customHeight="true" outlineLevel="0" collapsed="false">
      <c r="A27" s="8" t="s">
        <v>64</v>
      </c>
      <c r="B27" s="25" t="n">
        <v>44.8</v>
      </c>
      <c r="C27" s="9"/>
      <c r="D27" s="9"/>
      <c r="E27" s="9"/>
      <c r="F27" s="9"/>
      <c r="G27" s="9"/>
      <c r="H27" s="9"/>
      <c r="I27" s="9"/>
      <c r="J27" s="9"/>
      <c r="K27" s="9"/>
    </row>
    <row r="28" customFormat="false" ht="21.75" hidden="false" customHeight="true" outlineLevel="0" collapsed="false">
      <c r="A28" s="26" t="s">
        <v>65</v>
      </c>
      <c r="B28" s="26" t="s">
        <v>66</v>
      </c>
      <c r="C28" s="26" t="s">
        <v>67</v>
      </c>
      <c r="D28" s="26" t="s">
        <v>68</v>
      </c>
      <c r="E28" s="26" t="s">
        <v>69</v>
      </c>
      <c r="F28" s="26" t="s">
        <v>70</v>
      </c>
      <c r="G28" s="26" t="s">
        <v>71</v>
      </c>
      <c r="H28" s="26" t="s">
        <v>72</v>
      </c>
      <c r="I28" s="26" t="s">
        <v>73</v>
      </c>
      <c r="J28" s="26" t="s">
        <v>74</v>
      </c>
      <c r="K28" s="26" t="s">
        <v>75</v>
      </c>
      <c r="L28" s="26" t="s">
        <v>76</v>
      </c>
    </row>
    <row r="29" customFormat="false" ht="15" hidden="false" customHeight="true" outlineLevel="0" collapsed="false">
      <c r="A29" s="10" t="s">
        <v>77</v>
      </c>
      <c r="B29" s="12" t="s">
        <v>78</v>
      </c>
      <c r="C29" s="13" t="n">
        <v>12.14</v>
      </c>
      <c r="D29" s="23" t="n">
        <v>0.32</v>
      </c>
      <c r="E29" s="24" t="n">
        <v>3000</v>
      </c>
      <c r="F29" s="23" t="n">
        <v>0.06</v>
      </c>
      <c r="G29" s="23" t="n">
        <v>1</v>
      </c>
      <c r="H29" s="27" t="n">
        <v>2026</v>
      </c>
      <c r="I29" s="24" t="n">
        <v>9</v>
      </c>
      <c r="J29" s="24" t="n">
        <v>8</v>
      </c>
      <c r="K29" s="23" t="n">
        <v>0.8</v>
      </c>
      <c r="L29" s="23" t="n">
        <v>0.45</v>
      </c>
    </row>
    <row r="30" customFormat="false" ht="15" hidden="false" customHeight="true" outlineLevel="0" collapsed="false">
      <c r="A30" s="10" t="s">
        <v>79</v>
      </c>
      <c r="B30" s="12" t="s">
        <v>78</v>
      </c>
      <c r="C30" s="13" t="n">
        <v>1.4</v>
      </c>
      <c r="D30" s="23" t="n">
        <v>0.42</v>
      </c>
      <c r="E30" s="24" t="n">
        <v>3000</v>
      </c>
      <c r="F30" s="23" t="n">
        <v>0.07</v>
      </c>
      <c r="G30" s="23" t="n">
        <v>1</v>
      </c>
      <c r="H30" s="27" t="n">
        <v>2026</v>
      </c>
      <c r="I30" s="24" t="n">
        <v>5</v>
      </c>
      <c r="J30" s="24" t="n">
        <v>5</v>
      </c>
      <c r="K30" s="23" t="n">
        <v>0.85</v>
      </c>
      <c r="L30" s="23" t="n">
        <v>0.55</v>
      </c>
    </row>
    <row r="31" customFormat="false" ht="15" hidden="false" customHeight="true" outlineLevel="0" collapsed="false">
      <c r="A31" s="10" t="s">
        <v>80</v>
      </c>
      <c r="B31" s="12" t="s">
        <v>81</v>
      </c>
      <c r="C31" s="13" t="n">
        <v>4</v>
      </c>
      <c r="D31" s="23" t="n">
        <v>0.38</v>
      </c>
      <c r="E31" s="24" t="n">
        <v>8000</v>
      </c>
      <c r="F31" s="23" t="n">
        <v>0.06</v>
      </c>
      <c r="G31" s="23" t="n">
        <v>0.5</v>
      </c>
      <c r="H31" s="27" t="n">
        <v>2027</v>
      </c>
      <c r="I31" s="24" t="n">
        <v>8</v>
      </c>
      <c r="J31" s="24" t="n">
        <v>8</v>
      </c>
      <c r="K31" s="23" t="n">
        <v>0.55</v>
      </c>
      <c r="L31" s="23" t="n">
        <v>0.15</v>
      </c>
    </row>
    <row r="32" customFormat="false" ht="15" hidden="false" customHeight="true" outlineLevel="0" collapsed="false">
      <c r="A32" s="10" t="s">
        <v>82</v>
      </c>
      <c r="B32" s="12" t="s">
        <v>83</v>
      </c>
      <c r="C32" s="13" t="n">
        <v>0.6</v>
      </c>
      <c r="D32" s="23" t="n">
        <v>0.45</v>
      </c>
      <c r="E32" s="24" t="n">
        <v>8000</v>
      </c>
      <c r="F32" s="23" t="n">
        <v>0.07</v>
      </c>
      <c r="G32" s="23" t="n">
        <v>1</v>
      </c>
      <c r="H32" s="27" t="n">
        <v>2026</v>
      </c>
      <c r="I32" s="24" t="n">
        <v>5</v>
      </c>
      <c r="J32" s="24" t="n">
        <v>5</v>
      </c>
      <c r="K32" s="23" t="n">
        <v>0.8</v>
      </c>
      <c r="L32" s="23" t="n">
        <v>0.3</v>
      </c>
    </row>
    <row r="33" customFormat="false" ht="15" hidden="false" customHeight="true" outlineLevel="0" collapsed="false">
      <c r="A33" s="10" t="s">
        <v>84</v>
      </c>
      <c r="B33" s="12" t="s">
        <v>85</v>
      </c>
      <c r="C33" s="13" t="n">
        <v>2.02</v>
      </c>
      <c r="D33" s="23" t="n">
        <v>0.35</v>
      </c>
      <c r="E33" s="24" t="n">
        <v>2500</v>
      </c>
      <c r="F33" s="23" t="n">
        <v>0.07</v>
      </c>
      <c r="G33" s="23" t="n">
        <v>1</v>
      </c>
      <c r="H33" s="27" t="n">
        <v>2026</v>
      </c>
      <c r="I33" s="24" t="n">
        <v>6</v>
      </c>
      <c r="J33" s="24" t="n">
        <v>6</v>
      </c>
      <c r="K33" s="23" t="n">
        <v>0.85</v>
      </c>
      <c r="L33" s="23" t="n">
        <v>0.55</v>
      </c>
    </row>
    <row r="34" customFormat="false" ht="15" hidden="false" customHeight="true" outlineLevel="0" collapsed="false">
      <c r="A34" s="10" t="s">
        <v>86</v>
      </c>
      <c r="B34" s="12" t="s">
        <v>87</v>
      </c>
      <c r="C34" s="13" t="n">
        <v>0.42</v>
      </c>
      <c r="D34" s="23" t="n">
        <v>0.45</v>
      </c>
      <c r="E34" s="24" t="n">
        <v>3500</v>
      </c>
      <c r="F34" s="23" t="n">
        <v>0.07</v>
      </c>
      <c r="G34" s="23" t="n">
        <v>1</v>
      </c>
      <c r="H34" s="27" t="n">
        <v>2026</v>
      </c>
      <c r="I34" s="24" t="n">
        <v>5</v>
      </c>
      <c r="J34" s="24" t="n">
        <v>5</v>
      </c>
      <c r="K34" s="23" t="n">
        <v>0.8</v>
      </c>
      <c r="L34" s="23" t="n">
        <v>0.5</v>
      </c>
    </row>
    <row r="35" customFormat="false" ht="15" hidden="false" customHeight="true" outlineLevel="0" collapsed="false">
      <c r="A35" s="10" t="s">
        <v>88</v>
      </c>
      <c r="B35" s="12" t="s">
        <v>89</v>
      </c>
      <c r="C35" s="13" t="n">
        <v>0.8</v>
      </c>
      <c r="D35" s="23" t="n">
        <v>0.4</v>
      </c>
      <c r="E35" s="24" t="n">
        <v>4500</v>
      </c>
      <c r="F35" s="23" t="n">
        <v>0.07</v>
      </c>
      <c r="G35" s="23" t="n">
        <v>1</v>
      </c>
      <c r="H35" s="27" t="n">
        <v>2028</v>
      </c>
      <c r="I35" s="24" t="n">
        <v>6</v>
      </c>
      <c r="J35" s="24" t="n">
        <v>6</v>
      </c>
      <c r="K35" s="23" t="n">
        <v>0.7</v>
      </c>
      <c r="L35" s="23" t="n">
        <v>0.12</v>
      </c>
    </row>
    <row r="36" customFormat="false" ht="15" hidden="false" customHeight="true" outlineLevel="0" collapsed="false">
      <c r="A36" s="10" t="s">
        <v>90</v>
      </c>
      <c r="B36" s="12" t="s">
        <v>91</v>
      </c>
      <c r="C36" s="13" t="n">
        <v>5</v>
      </c>
      <c r="D36" s="23" t="n">
        <v>0.35</v>
      </c>
      <c r="E36" s="24" t="n">
        <v>4000</v>
      </c>
      <c r="F36" s="23" t="n">
        <v>0.08</v>
      </c>
      <c r="G36" s="23" t="n">
        <v>1</v>
      </c>
      <c r="H36" s="27" t="n">
        <v>2026</v>
      </c>
      <c r="I36" s="24" t="n">
        <v>7</v>
      </c>
      <c r="J36" s="24" t="n">
        <v>6</v>
      </c>
      <c r="K36" s="23" t="n">
        <v>0.8</v>
      </c>
      <c r="L36" s="23" t="n">
        <v>0.45</v>
      </c>
    </row>
    <row r="37" customFormat="false" ht="15" hidden="false" customHeight="true" outlineLevel="0" collapsed="false">
      <c r="A37" s="10" t="s">
        <v>92</v>
      </c>
      <c r="B37" s="12" t="s">
        <v>93</v>
      </c>
      <c r="C37" s="13" t="n">
        <v>0.5</v>
      </c>
      <c r="D37" s="23" t="n">
        <v>0.45</v>
      </c>
      <c r="E37" s="24" t="n">
        <v>5000</v>
      </c>
      <c r="F37" s="23" t="n">
        <v>0.08</v>
      </c>
      <c r="G37" s="23" t="n">
        <v>1</v>
      </c>
      <c r="H37" s="27" t="n">
        <v>2026</v>
      </c>
      <c r="I37" s="24" t="n">
        <v>6</v>
      </c>
      <c r="J37" s="24" t="n">
        <v>5</v>
      </c>
      <c r="K37" s="23" t="n">
        <v>0.75</v>
      </c>
      <c r="L37" s="23" t="n">
        <v>0.45</v>
      </c>
    </row>
    <row r="38" customFormat="false" ht="15" hidden="false" customHeight="true" outlineLevel="0" collapsed="false">
      <c r="A38" s="10" t="s">
        <v>94</v>
      </c>
      <c r="B38" s="12" t="s">
        <v>95</v>
      </c>
      <c r="C38" s="13" t="n">
        <v>1.2</v>
      </c>
      <c r="D38" s="23" t="n">
        <v>0.4</v>
      </c>
      <c r="E38" s="24" t="n">
        <v>2500</v>
      </c>
      <c r="F38" s="23" t="n">
        <v>0.07</v>
      </c>
      <c r="G38" s="23" t="n">
        <v>1</v>
      </c>
      <c r="H38" s="27" t="n">
        <v>2026</v>
      </c>
      <c r="I38" s="24" t="n">
        <v>5</v>
      </c>
      <c r="J38" s="24" t="n">
        <v>4</v>
      </c>
      <c r="K38" s="23" t="n">
        <v>0.85</v>
      </c>
      <c r="L38" s="23" t="n">
        <v>0.5</v>
      </c>
    </row>
    <row r="39" customFormat="false" ht="15" hidden="false" customHeight="true" outlineLevel="0" collapsed="false">
      <c r="A39" s="10" t="s">
        <v>96</v>
      </c>
      <c r="B39" s="12" t="s">
        <v>97</v>
      </c>
      <c r="C39" s="13" t="n">
        <v>6</v>
      </c>
      <c r="D39" s="23" t="n">
        <v>0.35</v>
      </c>
      <c r="E39" s="24" t="n">
        <v>2500</v>
      </c>
      <c r="F39" s="23" t="n">
        <v>0.06</v>
      </c>
      <c r="G39" s="23" t="n">
        <v>1</v>
      </c>
      <c r="H39" s="27" t="n">
        <v>2026</v>
      </c>
      <c r="I39" s="24" t="n">
        <v>4</v>
      </c>
      <c r="J39" s="24" t="n">
        <v>4</v>
      </c>
      <c r="K39" s="23" t="n">
        <v>0.9</v>
      </c>
      <c r="L39" s="23" t="n">
        <v>0.85</v>
      </c>
    </row>
    <row r="40" customFormat="false" ht="15" hidden="false" customHeight="true" outlineLevel="0" collapsed="false">
      <c r="A40" s="10" t="s">
        <v>98</v>
      </c>
      <c r="B40" s="12" t="s">
        <v>99</v>
      </c>
      <c r="C40" s="13" t="n">
        <v>5.65</v>
      </c>
      <c r="D40" s="23" t="n">
        <v>0.6</v>
      </c>
      <c r="E40" s="24" t="n">
        <v>18000</v>
      </c>
      <c r="F40" s="23" t="n">
        <v>0.06</v>
      </c>
      <c r="G40" s="23" t="n">
        <v>0.45</v>
      </c>
      <c r="H40" s="27" t="n">
        <v>2027</v>
      </c>
      <c r="I40" s="24" t="n">
        <v>8</v>
      </c>
      <c r="J40" s="24" t="n">
        <v>8</v>
      </c>
      <c r="K40" s="23" t="n">
        <v>0.55</v>
      </c>
      <c r="L40" s="23" t="n">
        <v>0.05</v>
      </c>
    </row>
    <row r="41" customFormat="false" ht="15" hidden="false" customHeight="true" outlineLevel="0" collapsed="false">
      <c r="A41" s="10" t="s">
        <v>100</v>
      </c>
      <c r="B41" s="12" t="s">
        <v>99</v>
      </c>
      <c r="C41" s="13" t="n">
        <v>8.09</v>
      </c>
      <c r="D41" s="23" t="n">
        <v>0.45</v>
      </c>
      <c r="E41" s="24" t="n">
        <v>16000</v>
      </c>
      <c r="F41" s="23" t="n">
        <v>0.06</v>
      </c>
      <c r="G41" s="23" t="n">
        <v>0.3</v>
      </c>
      <c r="H41" s="27" t="n">
        <v>2028</v>
      </c>
      <c r="I41" s="24" t="n">
        <v>8</v>
      </c>
      <c r="J41" s="24" t="n">
        <v>8</v>
      </c>
      <c r="K41" s="23" t="n">
        <v>0.45</v>
      </c>
      <c r="L41" s="23" t="n">
        <v>0.05</v>
      </c>
    </row>
    <row r="42" customFormat="false" ht="15" hidden="false" customHeight="true" outlineLevel="0" collapsed="false">
      <c r="A42" s="10" t="s">
        <v>101</v>
      </c>
      <c r="B42" s="12" t="s">
        <v>102</v>
      </c>
      <c r="C42" s="13" t="n">
        <v>1.87</v>
      </c>
      <c r="D42" s="23" t="n">
        <v>0.4</v>
      </c>
      <c r="E42" s="24" t="n">
        <v>45000</v>
      </c>
      <c r="F42" s="23" t="n">
        <v>0.06</v>
      </c>
      <c r="G42" s="23" t="n">
        <v>0.45</v>
      </c>
      <c r="H42" s="27" t="n">
        <v>2026</v>
      </c>
      <c r="I42" s="24" t="n">
        <v>5</v>
      </c>
      <c r="J42" s="24" t="n">
        <v>5</v>
      </c>
      <c r="K42" s="23" t="n">
        <v>0.6</v>
      </c>
      <c r="L42" s="23" t="n">
        <v>0.1</v>
      </c>
    </row>
    <row r="43" customFormat="false" ht="15" hidden="false" customHeight="true" outlineLevel="0" collapsed="false">
      <c r="A43" s="10" t="s">
        <v>103</v>
      </c>
      <c r="B43" s="12" t="s">
        <v>104</v>
      </c>
      <c r="C43" s="13" t="n">
        <v>6</v>
      </c>
      <c r="D43" s="23" t="n">
        <v>0.3</v>
      </c>
      <c r="E43" s="24" t="n">
        <v>5000</v>
      </c>
      <c r="F43" s="23" t="n">
        <v>0.08</v>
      </c>
      <c r="G43" s="23" t="n">
        <v>1</v>
      </c>
      <c r="H43" s="27" t="n">
        <v>2032</v>
      </c>
      <c r="I43" s="24" t="n">
        <v>6</v>
      </c>
      <c r="J43" s="24" t="n">
        <v>6</v>
      </c>
      <c r="K43" s="23" t="n">
        <v>0.4</v>
      </c>
      <c r="L43" s="23" t="n">
        <v>0</v>
      </c>
    </row>
    <row r="45" customFormat="false" ht="15" hidden="false" customHeight="true" outlineLevel="0" collapsed="false">
      <c r="A45" s="8" t="s">
        <v>105</v>
      </c>
      <c r="B45" s="9"/>
      <c r="C45" s="9"/>
    </row>
    <row r="46" customFormat="false" ht="15" hidden="false" customHeight="true" outlineLevel="0" collapsed="false">
      <c r="A46" s="12" t="s">
        <v>106</v>
      </c>
      <c r="B46" s="21" t="n">
        <v>263</v>
      </c>
    </row>
    <row r="47" customFormat="false" ht="15" hidden="false" customHeight="true" outlineLevel="0" collapsed="false">
      <c r="A47" s="12" t="s">
        <v>107</v>
      </c>
      <c r="B47" s="23" t="n">
        <v>0.4</v>
      </c>
    </row>
    <row r="48" customFormat="false" ht="15" hidden="false" customHeight="true" outlineLevel="0" collapsed="false">
      <c r="A48" s="12" t="s">
        <v>108</v>
      </c>
      <c r="B48" s="23" t="n">
        <v>0.7</v>
      </c>
    </row>
    <row r="49" customFormat="false" ht="15" hidden="false" customHeight="true" outlineLevel="0" collapsed="false">
      <c r="A49" s="12" t="s">
        <v>109</v>
      </c>
      <c r="B49" s="24" t="n">
        <v>7</v>
      </c>
    </row>
    <row r="50" customFormat="false" ht="15" hidden="false" customHeight="true" outlineLevel="0" collapsed="false">
      <c r="A50" s="12" t="s">
        <v>110</v>
      </c>
      <c r="B50" s="24" t="n">
        <v>7</v>
      </c>
    </row>
    <row r="51" customFormat="false" ht="15" hidden="false" customHeight="true" outlineLevel="0" collapsed="false">
      <c r="A51" s="12" t="s">
        <v>111</v>
      </c>
      <c r="B51" s="23" t="n">
        <v>0.42</v>
      </c>
    </row>
    <row r="53" customFormat="false" ht="15" hidden="false" customHeight="true" outlineLevel="0" collapsed="false">
      <c r="A53" s="8" t="s">
        <v>112</v>
      </c>
      <c r="B53" s="9"/>
      <c r="C53" s="9"/>
      <c r="D53" s="9"/>
      <c r="E53" s="9"/>
      <c r="F53" s="9"/>
    </row>
    <row r="54" customFormat="false" ht="32.25" hidden="false" customHeight="true" outlineLevel="0" collapsed="false">
      <c r="A54" s="26" t="s">
        <v>65</v>
      </c>
      <c r="B54" s="26" t="s">
        <v>113</v>
      </c>
      <c r="C54" s="26" t="s">
        <v>114</v>
      </c>
      <c r="D54" s="26" t="s">
        <v>115</v>
      </c>
      <c r="E54" s="26" t="s">
        <v>116</v>
      </c>
      <c r="F54" s="26" t="s">
        <v>117</v>
      </c>
    </row>
    <row r="55" customFormat="false" ht="15" hidden="false" customHeight="true" outlineLevel="0" collapsed="false">
      <c r="A55" s="10" t="s">
        <v>77</v>
      </c>
      <c r="B55" s="12" t="s">
        <v>118</v>
      </c>
      <c r="C55" s="23" t="n">
        <v>0.55</v>
      </c>
      <c r="D55" s="24" t="n">
        <v>130</v>
      </c>
      <c r="E55" s="24" t="n">
        <v>48000</v>
      </c>
      <c r="F55" s="24" t="n">
        <v>20000</v>
      </c>
    </row>
    <row r="56" customFormat="false" ht="15" hidden="false" customHeight="true" outlineLevel="0" collapsed="false">
      <c r="A56" s="12"/>
      <c r="B56" s="12" t="s">
        <v>119</v>
      </c>
      <c r="C56" s="23" t="n">
        <v>0.3</v>
      </c>
      <c r="D56" s="24" t="n">
        <v>220</v>
      </c>
      <c r="E56" s="24" t="n">
        <v>58000</v>
      </c>
      <c r="F56" s="24" t="n">
        <v>24000</v>
      </c>
    </row>
    <row r="57" customFormat="false" ht="15" hidden="false" customHeight="true" outlineLevel="0" collapsed="false">
      <c r="A57" s="12"/>
      <c r="B57" s="12" t="s">
        <v>120</v>
      </c>
      <c r="C57" s="23" t="n">
        <v>0.15</v>
      </c>
      <c r="D57" s="24" t="n">
        <v>330</v>
      </c>
      <c r="E57" s="24" t="n">
        <v>72000</v>
      </c>
      <c r="F57" s="24" t="n">
        <v>30000</v>
      </c>
    </row>
    <row r="58" customFormat="false" ht="15" hidden="false" customHeight="true" outlineLevel="0" collapsed="false">
      <c r="A58" s="10" t="s">
        <v>79</v>
      </c>
      <c r="B58" s="12" t="s">
        <v>118</v>
      </c>
      <c r="C58" s="23" t="n">
        <v>0.45</v>
      </c>
      <c r="D58" s="24" t="n">
        <v>150</v>
      </c>
      <c r="E58" s="24" t="n">
        <v>55000</v>
      </c>
      <c r="F58" s="24" t="n">
        <v>21000</v>
      </c>
    </row>
    <row r="59" customFormat="false" ht="15" hidden="false" customHeight="true" outlineLevel="0" collapsed="false">
      <c r="A59" s="12"/>
      <c r="B59" s="12" t="s">
        <v>119</v>
      </c>
      <c r="C59" s="23" t="n">
        <v>0.35</v>
      </c>
      <c r="D59" s="24" t="n">
        <v>230</v>
      </c>
      <c r="E59" s="24" t="n">
        <v>68000</v>
      </c>
      <c r="F59" s="24" t="n">
        <v>25000</v>
      </c>
    </row>
    <row r="60" customFormat="false" ht="15" hidden="false" customHeight="true" outlineLevel="0" collapsed="false">
      <c r="A60" s="12"/>
      <c r="B60" s="12" t="s">
        <v>120</v>
      </c>
      <c r="C60" s="23" t="n">
        <v>0.2</v>
      </c>
      <c r="D60" s="24" t="n">
        <v>360</v>
      </c>
      <c r="E60" s="24" t="n">
        <v>82000</v>
      </c>
      <c r="F60" s="24" t="n">
        <v>32000</v>
      </c>
    </row>
    <row r="61" customFormat="false" ht="15" hidden="false" customHeight="true" outlineLevel="0" collapsed="false">
      <c r="A61" s="10" t="s">
        <v>80</v>
      </c>
      <c r="B61" s="12" t="s">
        <v>118</v>
      </c>
      <c r="C61" s="23" t="n">
        <v>0.5</v>
      </c>
      <c r="D61" s="24" t="n">
        <v>140</v>
      </c>
      <c r="E61" s="24" t="n">
        <v>72000</v>
      </c>
      <c r="F61" s="24" t="n">
        <v>24000</v>
      </c>
    </row>
    <row r="62" customFormat="false" ht="15" hidden="false" customHeight="true" outlineLevel="0" collapsed="false">
      <c r="A62" s="12"/>
      <c r="B62" s="12" t="s">
        <v>119</v>
      </c>
      <c r="C62" s="23" t="n">
        <v>0.3</v>
      </c>
      <c r="D62" s="24" t="n">
        <v>210</v>
      </c>
      <c r="E62" s="24" t="n">
        <v>90000</v>
      </c>
      <c r="F62" s="24" t="n">
        <v>28000</v>
      </c>
    </row>
    <row r="63" customFormat="false" ht="15" hidden="false" customHeight="true" outlineLevel="0" collapsed="false">
      <c r="A63" s="12"/>
      <c r="B63" s="12" t="s">
        <v>120</v>
      </c>
      <c r="C63" s="23" t="n">
        <v>0.2</v>
      </c>
      <c r="D63" s="24" t="n">
        <v>340</v>
      </c>
      <c r="E63" s="24" t="n">
        <v>120000</v>
      </c>
      <c r="F63" s="24" t="n">
        <v>36000</v>
      </c>
    </row>
    <row r="64" customFormat="false" ht="15" hidden="false" customHeight="true" outlineLevel="0" collapsed="false">
      <c r="A64" s="10" t="s">
        <v>82</v>
      </c>
      <c r="B64" s="12" t="s">
        <v>121</v>
      </c>
      <c r="C64" s="23" t="n">
        <v>0.45</v>
      </c>
      <c r="D64" s="24" t="n">
        <v>200</v>
      </c>
      <c r="E64" s="24" t="n">
        <v>82000</v>
      </c>
      <c r="F64" s="24" t="n">
        <v>30000</v>
      </c>
    </row>
    <row r="65" customFormat="false" ht="15" hidden="false" customHeight="true" outlineLevel="0" collapsed="false">
      <c r="A65" s="12"/>
      <c r="B65" s="12" t="s">
        <v>122</v>
      </c>
      <c r="C65" s="23" t="n">
        <v>0.3</v>
      </c>
      <c r="D65" s="24" t="n">
        <v>250</v>
      </c>
      <c r="E65" s="24" t="n">
        <v>90000</v>
      </c>
      <c r="F65" s="24" t="n">
        <v>33000</v>
      </c>
    </row>
    <row r="66" customFormat="false" ht="15" hidden="false" customHeight="true" outlineLevel="0" collapsed="false">
      <c r="A66" s="12"/>
      <c r="B66" s="12" t="s">
        <v>120</v>
      </c>
      <c r="C66" s="23" t="n">
        <v>0.25</v>
      </c>
      <c r="D66" s="24" t="n">
        <v>360</v>
      </c>
      <c r="E66" s="24" t="n">
        <v>98000</v>
      </c>
      <c r="F66" s="24" t="n">
        <v>36000</v>
      </c>
    </row>
    <row r="67" customFormat="false" ht="15" hidden="false" customHeight="true" outlineLevel="0" collapsed="false">
      <c r="A67" s="10" t="s">
        <v>84</v>
      </c>
      <c r="B67" s="12" t="s">
        <v>118</v>
      </c>
      <c r="C67" s="23" t="n">
        <v>0.5</v>
      </c>
      <c r="D67" s="24" t="n">
        <v>150</v>
      </c>
      <c r="E67" s="24" t="n">
        <v>61500</v>
      </c>
      <c r="F67" s="24" t="n">
        <v>22000</v>
      </c>
    </row>
    <row r="68" customFormat="false" ht="15" hidden="false" customHeight="true" outlineLevel="0" collapsed="false">
      <c r="A68" s="12"/>
      <c r="B68" s="12" t="s">
        <v>119</v>
      </c>
      <c r="C68" s="23" t="n">
        <v>0.3</v>
      </c>
      <c r="D68" s="24" t="n">
        <v>230</v>
      </c>
      <c r="E68" s="24" t="n">
        <v>75000</v>
      </c>
      <c r="F68" s="24" t="n">
        <v>26000</v>
      </c>
    </row>
    <row r="69" customFormat="false" ht="15" hidden="false" customHeight="true" outlineLevel="0" collapsed="false">
      <c r="A69" s="12"/>
      <c r="B69" s="12" t="s">
        <v>120</v>
      </c>
      <c r="C69" s="23" t="n">
        <v>0.2</v>
      </c>
      <c r="D69" s="24" t="n">
        <v>350</v>
      </c>
      <c r="E69" s="24" t="n">
        <v>97000</v>
      </c>
      <c r="F69" s="24" t="n">
        <v>34000</v>
      </c>
    </row>
    <row r="70" customFormat="false" ht="15" hidden="false" customHeight="true" outlineLevel="0" collapsed="false">
      <c r="A70" s="10" t="s">
        <v>86</v>
      </c>
      <c r="B70" s="12" t="s">
        <v>118</v>
      </c>
      <c r="C70" s="23" t="n">
        <v>0.6</v>
      </c>
      <c r="D70" s="24" t="n">
        <v>150</v>
      </c>
      <c r="E70" s="24" t="n">
        <v>40000</v>
      </c>
      <c r="F70" s="24" t="n">
        <v>17000</v>
      </c>
    </row>
    <row r="71" customFormat="false" ht="15" hidden="false" customHeight="true" outlineLevel="0" collapsed="false">
      <c r="A71" s="12"/>
      <c r="B71" s="12" t="s">
        <v>119</v>
      </c>
      <c r="C71" s="23" t="n">
        <v>0.25</v>
      </c>
      <c r="D71" s="24" t="n">
        <v>210</v>
      </c>
      <c r="E71" s="24" t="n">
        <v>48000</v>
      </c>
      <c r="F71" s="24" t="n">
        <v>20000</v>
      </c>
    </row>
    <row r="72" customFormat="false" ht="15" hidden="false" customHeight="true" outlineLevel="0" collapsed="false">
      <c r="A72" s="12"/>
      <c r="B72" s="12" t="s">
        <v>120</v>
      </c>
      <c r="C72" s="23" t="n">
        <v>0.15</v>
      </c>
      <c r="D72" s="24" t="n">
        <v>320</v>
      </c>
      <c r="E72" s="24" t="n">
        <v>60000</v>
      </c>
      <c r="F72" s="24" t="n">
        <v>26000</v>
      </c>
    </row>
    <row r="73" customFormat="false" ht="15" hidden="false" customHeight="true" outlineLevel="0" collapsed="false">
      <c r="A73" s="10" t="s">
        <v>88</v>
      </c>
      <c r="B73" s="12" t="s">
        <v>118</v>
      </c>
      <c r="C73" s="23" t="n">
        <v>0.2</v>
      </c>
      <c r="D73" s="24" t="n">
        <v>150</v>
      </c>
      <c r="E73" s="24" t="n">
        <v>42000</v>
      </c>
      <c r="F73" s="24" t="n">
        <v>18000</v>
      </c>
    </row>
    <row r="74" customFormat="false" ht="15" hidden="false" customHeight="true" outlineLevel="0" collapsed="false">
      <c r="A74" s="12"/>
      <c r="B74" s="12" t="s">
        <v>119</v>
      </c>
      <c r="C74" s="23" t="n">
        <v>0.3</v>
      </c>
      <c r="D74" s="24" t="n">
        <v>210</v>
      </c>
      <c r="E74" s="24" t="n">
        <v>52000</v>
      </c>
      <c r="F74" s="24" t="n">
        <v>21000</v>
      </c>
    </row>
    <row r="75" customFormat="false" ht="15" hidden="false" customHeight="true" outlineLevel="0" collapsed="false">
      <c r="A75" s="12"/>
      <c r="B75" s="12" t="s">
        <v>120</v>
      </c>
      <c r="C75" s="23" t="n">
        <v>0.5</v>
      </c>
      <c r="D75" s="24" t="n">
        <v>330</v>
      </c>
      <c r="E75" s="24" t="n">
        <v>66000</v>
      </c>
      <c r="F75" s="24" t="n">
        <v>27000</v>
      </c>
    </row>
    <row r="76" customFormat="false" ht="15" hidden="false" customHeight="true" outlineLevel="0" collapsed="false">
      <c r="A76" s="10" t="s">
        <v>90</v>
      </c>
      <c r="B76" s="12" t="s">
        <v>123</v>
      </c>
      <c r="C76" s="23" t="n">
        <v>0.55</v>
      </c>
      <c r="D76" s="24" t="n">
        <v>120</v>
      </c>
      <c r="E76" s="24" t="n">
        <v>62000</v>
      </c>
      <c r="F76" s="24" t="n">
        <v>23000</v>
      </c>
    </row>
    <row r="77" customFormat="false" ht="15" hidden="false" customHeight="true" outlineLevel="0" collapsed="false">
      <c r="A77" s="12"/>
      <c r="B77" s="12" t="s">
        <v>124</v>
      </c>
      <c r="C77" s="23" t="n">
        <v>0.25</v>
      </c>
      <c r="D77" s="24" t="n">
        <v>190</v>
      </c>
      <c r="E77" s="24" t="n">
        <v>72000</v>
      </c>
      <c r="F77" s="24" t="n">
        <v>27000</v>
      </c>
    </row>
    <row r="78" customFormat="false" ht="15" hidden="false" customHeight="true" outlineLevel="0" collapsed="false">
      <c r="A78" s="12"/>
      <c r="B78" s="12" t="s">
        <v>120</v>
      </c>
      <c r="C78" s="23" t="n">
        <v>0.2</v>
      </c>
      <c r="D78" s="24" t="n">
        <v>320</v>
      </c>
      <c r="E78" s="24" t="n">
        <v>95000</v>
      </c>
      <c r="F78" s="24" t="n">
        <v>35000</v>
      </c>
    </row>
    <row r="79" customFormat="false" ht="15" hidden="false" customHeight="true" outlineLevel="0" collapsed="false">
      <c r="A79" s="10" t="s">
        <v>92</v>
      </c>
      <c r="B79" s="12" t="s">
        <v>118</v>
      </c>
      <c r="C79" s="23" t="n">
        <v>0.55</v>
      </c>
      <c r="D79" s="24" t="n">
        <v>120</v>
      </c>
      <c r="E79" s="24" t="n">
        <v>52000</v>
      </c>
      <c r="F79" s="24" t="n">
        <v>21000</v>
      </c>
    </row>
    <row r="80" customFormat="false" ht="15" hidden="false" customHeight="true" outlineLevel="0" collapsed="false">
      <c r="A80" s="12"/>
      <c r="B80" s="12" t="s">
        <v>123</v>
      </c>
      <c r="C80" s="23" t="n">
        <v>0.25</v>
      </c>
      <c r="D80" s="24" t="n">
        <v>110</v>
      </c>
      <c r="E80" s="24" t="n">
        <v>55000</v>
      </c>
      <c r="F80" s="24" t="n">
        <v>22000</v>
      </c>
    </row>
    <row r="81" customFormat="false" ht="15" hidden="false" customHeight="true" outlineLevel="0" collapsed="false">
      <c r="A81" s="12"/>
      <c r="B81" s="12" t="s">
        <v>120</v>
      </c>
      <c r="C81" s="23" t="n">
        <v>0.2</v>
      </c>
      <c r="D81" s="24" t="n">
        <v>300</v>
      </c>
      <c r="E81" s="24" t="n">
        <v>80000</v>
      </c>
      <c r="F81" s="24" t="n">
        <v>32000</v>
      </c>
    </row>
    <row r="82" customFormat="false" ht="15" hidden="false" customHeight="true" outlineLevel="0" collapsed="false">
      <c r="A82" s="10" t="s">
        <v>94</v>
      </c>
      <c r="B82" s="12" t="s">
        <v>123</v>
      </c>
      <c r="C82" s="23" t="n">
        <v>0.6</v>
      </c>
      <c r="D82" s="24" t="n">
        <v>110</v>
      </c>
      <c r="E82" s="24" t="n">
        <v>45000</v>
      </c>
      <c r="F82" s="24" t="n">
        <v>21000</v>
      </c>
    </row>
    <row r="83" customFormat="false" ht="15" hidden="false" customHeight="true" outlineLevel="0" collapsed="false">
      <c r="A83" s="12"/>
      <c r="B83" s="12" t="s">
        <v>124</v>
      </c>
      <c r="C83" s="23" t="n">
        <v>0.25</v>
      </c>
      <c r="D83" s="24" t="n">
        <v>180</v>
      </c>
      <c r="E83" s="24" t="n">
        <v>52000</v>
      </c>
      <c r="F83" s="24" t="n">
        <v>24000</v>
      </c>
    </row>
    <row r="84" customFormat="false" ht="15" hidden="false" customHeight="true" outlineLevel="0" collapsed="false">
      <c r="A84" s="12"/>
      <c r="B84" s="12" t="s">
        <v>120</v>
      </c>
      <c r="C84" s="23" t="n">
        <v>0.15</v>
      </c>
      <c r="D84" s="24" t="n">
        <v>300</v>
      </c>
      <c r="E84" s="24" t="n">
        <v>68000</v>
      </c>
      <c r="F84" s="24" t="n">
        <v>31000</v>
      </c>
    </row>
    <row r="85" customFormat="false" ht="15" hidden="false" customHeight="true" outlineLevel="0" collapsed="false">
      <c r="A85" s="10" t="s">
        <v>96</v>
      </c>
      <c r="B85" s="12" t="s">
        <v>118</v>
      </c>
      <c r="C85" s="23" t="n">
        <v>0.45</v>
      </c>
      <c r="D85" s="24" t="n">
        <v>140</v>
      </c>
      <c r="E85" s="24" t="n">
        <v>50000</v>
      </c>
      <c r="F85" s="24" t="n">
        <v>20000</v>
      </c>
    </row>
    <row r="86" customFormat="false" ht="15" hidden="false" customHeight="true" outlineLevel="0" collapsed="false">
      <c r="A86" s="12"/>
      <c r="B86" s="12" t="s">
        <v>119</v>
      </c>
      <c r="C86" s="23" t="n">
        <v>0.3</v>
      </c>
      <c r="D86" s="24" t="n">
        <v>210</v>
      </c>
      <c r="E86" s="24" t="n">
        <v>60000</v>
      </c>
      <c r="F86" s="24" t="n">
        <v>24000</v>
      </c>
    </row>
    <row r="87" customFormat="false" ht="15" hidden="false" customHeight="true" outlineLevel="0" collapsed="false">
      <c r="A87" s="12"/>
      <c r="B87" s="12" t="s">
        <v>120</v>
      </c>
      <c r="C87" s="23" t="n">
        <v>0.25</v>
      </c>
      <c r="D87" s="24" t="n">
        <v>330</v>
      </c>
      <c r="E87" s="24" t="n">
        <v>78000</v>
      </c>
      <c r="F87" s="24" t="n">
        <v>31000</v>
      </c>
    </row>
    <row r="88" customFormat="false" ht="15" hidden="false" customHeight="true" outlineLevel="0" collapsed="false">
      <c r="A88" s="10" t="s">
        <v>98</v>
      </c>
      <c r="B88" s="12" t="s">
        <v>118</v>
      </c>
      <c r="C88" s="23" t="n">
        <v>0.55</v>
      </c>
      <c r="D88" s="24" t="n">
        <v>115</v>
      </c>
      <c r="E88" s="24" t="n">
        <v>95000</v>
      </c>
      <c r="F88" s="24" t="n">
        <v>28000</v>
      </c>
    </row>
    <row r="89" customFormat="false" ht="15" hidden="false" customHeight="true" outlineLevel="0" collapsed="false">
      <c r="A89" s="12"/>
      <c r="B89" s="12" t="s">
        <v>119</v>
      </c>
      <c r="C89" s="23" t="n">
        <v>0.28</v>
      </c>
      <c r="D89" s="24" t="n">
        <v>190</v>
      </c>
      <c r="E89" s="24" t="n">
        <v>115000</v>
      </c>
      <c r="F89" s="24" t="n">
        <v>34000</v>
      </c>
    </row>
    <row r="90" customFormat="false" ht="15" hidden="false" customHeight="true" outlineLevel="0" collapsed="false">
      <c r="A90" s="12"/>
      <c r="B90" s="12" t="s">
        <v>120</v>
      </c>
      <c r="C90" s="23" t="n">
        <v>0.17</v>
      </c>
      <c r="D90" s="24" t="n">
        <v>330</v>
      </c>
      <c r="E90" s="24" t="n">
        <v>150000</v>
      </c>
      <c r="F90" s="24" t="n">
        <v>45000</v>
      </c>
    </row>
    <row r="91" customFormat="false" ht="15" hidden="false" customHeight="true" outlineLevel="0" collapsed="false">
      <c r="A91" s="10" t="s">
        <v>100</v>
      </c>
      <c r="B91" s="12" t="s">
        <v>118</v>
      </c>
      <c r="C91" s="23" t="n">
        <v>0.55</v>
      </c>
      <c r="D91" s="24" t="n">
        <v>115</v>
      </c>
      <c r="E91" s="24" t="n">
        <v>88000</v>
      </c>
      <c r="F91" s="24" t="n">
        <v>28000</v>
      </c>
    </row>
    <row r="92" customFormat="false" ht="15" hidden="false" customHeight="true" outlineLevel="0" collapsed="false">
      <c r="A92" s="12"/>
      <c r="B92" s="12" t="s">
        <v>119</v>
      </c>
      <c r="C92" s="23" t="n">
        <v>0.28</v>
      </c>
      <c r="D92" s="24" t="n">
        <v>190</v>
      </c>
      <c r="E92" s="24" t="n">
        <v>105000</v>
      </c>
      <c r="F92" s="24" t="n">
        <v>34000</v>
      </c>
    </row>
    <row r="93" customFormat="false" ht="15" hidden="false" customHeight="true" outlineLevel="0" collapsed="false">
      <c r="A93" s="12"/>
      <c r="B93" s="12" t="s">
        <v>120</v>
      </c>
      <c r="C93" s="23" t="n">
        <v>0.17</v>
      </c>
      <c r="D93" s="24" t="n">
        <v>330</v>
      </c>
      <c r="E93" s="24" t="n">
        <v>135000</v>
      </c>
      <c r="F93" s="24" t="n">
        <v>45000</v>
      </c>
    </row>
    <row r="94" customFormat="false" ht="15" hidden="false" customHeight="true" outlineLevel="0" collapsed="false">
      <c r="A94" s="10" t="s">
        <v>101</v>
      </c>
      <c r="B94" s="12" t="s">
        <v>118</v>
      </c>
      <c r="C94" s="23" t="n">
        <v>0.55</v>
      </c>
      <c r="D94" s="24" t="n">
        <v>110</v>
      </c>
      <c r="E94" s="24" t="n">
        <v>360000</v>
      </c>
      <c r="F94" s="24" t="n">
        <v>95000</v>
      </c>
    </row>
    <row r="95" customFormat="false" ht="15" hidden="false" customHeight="true" outlineLevel="0" collapsed="false">
      <c r="A95" s="12"/>
      <c r="B95" s="12" t="s">
        <v>124</v>
      </c>
      <c r="C95" s="23" t="n">
        <v>0.25</v>
      </c>
      <c r="D95" s="24" t="n">
        <v>180</v>
      </c>
      <c r="E95" s="24" t="n">
        <v>420000</v>
      </c>
      <c r="F95" s="24" t="n">
        <v>110000</v>
      </c>
    </row>
    <row r="96" customFormat="false" ht="15" hidden="false" customHeight="true" outlineLevel="0" collapsed="false">
      <c r="A96" s="12"/>
      <c r="B96" s="12" t="s">
        <v>120</v>
      </c>
      <c r="C96" s="23" t="n">
        <v>0.2</v>
      </c>
      <c r="D96" s="24" t="n">
        <v>300</v>
      </c>
      <c r="E96" s="24" t="n">
        <v>560000</v>
      </c>
      <c r="F96" s="24" t="n">
        <v>140000</v>
      </c>
    </row>
    <row r="97" customFormat="false" ht="15" hidden="false" customHeight="true" outlineLevel="0" collapsed="false">
      <c r="A97" s="10" t="s">
        <v>103</v>
      </c>
      <c r="B97" s="12" t="s">
        <v>118</v>
      </c>
      <c r="C97" s="23" t="n">
        <v>0.55</v>
      </c>
      <c r="D97" s="24" t="n">
        <v>135</v>
      </c>
      <c r="E97" s="24" t="n">
        <v>52000</v>
      </c>
      <c r="F97" s="24" t="n">
        <v>21000</v>
      </c>
    </row>
    <row r="98" customFormat="false" ht="15" hidden="false" customHeight="true" outlineLevel="0" collapsed="false">
      <c r="A98" s="12"/>
      <c r="B98" s="12" t="s">
        <v>119</v>
      </c>
      <c r="C98" s="23" t="n">
        <v>0.3</v>
      </c>
      <c r="D98" s="24" t="n">
        <v>210</v>
      </c>
      <c r="E98" s="24" t="n">
        <v>62000</v>
      </c>
      <c r="F98" s="24" t="n">
        <v>25000</v>
      </c>
    </row>
    <row r="99" customFormat="false" ht="15" hidden="false" customHeight="true" outlineLevel="0" collapsed="false">
      <c r="A99" s="12"/>
      <c r="B99" s="12" t="s">
        <v>120</v>
      </c>
      <c r="C99" s="23" t="n">
        <v>0.15</v>
      </c>
      <c r="D99" s="24" t="n">
        <v>330</v>
      </c>
      <c r="E99" s="24" t="n">
        <v>80000</v>
      </c>
      <c r="F99" s="24" t="n">
        <v>32000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18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4" width="24"/>
    <col collapsed="false" customWidth="true" hidden="false" outlineLevel="0" max="3" min="2" style="4" width="11"/>
    <col collapsed="false" customWidth="true" hidden="false" outlineLevel="0" max="4" min="4" style="4" width="13"/>
    <col collapsed="false" customWidth="true" hidden="false" outlineLevel="0" max="5" min="5" style="4" width="12"/>
    <col collapsed="false" customWidth="true" hidden="false" outlineLevel="0" max="6" min="6" style="4" width="15"/>
    <col collapsed="false" customWidth="true" hidden="false" outlineLevel="0" max="7" min="7" style="4" width="12"/>
    <col collapsed="false" customWidth="true" hidden="false" outlineLevel="0" max="8" min="8" style="4" width="15"/>
  </cols>
  <sheetData>
    <row r="1" customFormat="false" ht="21.75" hidden="false" customHeight="true" outlineLevel="0" collapsed="false">
      <c r="A1" s="5" t="s">
        <v>125</v>
      </c>
      <c r="B1" s="6"/>
      <c r="C1" s="6"/>
      <c r="D1" s="6"/>
      <c r="E1" s="6"/>
      <c r="F1" s="6"/>
      <c r="G1" s="6"/>
      <c r="H1" s="6"/>
      <c r="I1" s="6"/>
    </row>
    <row r="2" customFormat="false" ht="15" hidden="false" customHeight="true" outlineLevel="0" collapsed="false">
      <c r="A2" s="7" t="s">
        <v>126</v>
      </c>
    </row>
    <row r="3" customFormat="false" ht="15" hidden="false" customHeight="true" outlineLevel="0" collapsed="false">
      <c r="A3" s="28" t="s">
        <v>127</v>
      </c>
      <c r="B3" s="6"/>
      <c r="C3" s="6"/>
      <c r="D3" s="6"/>
      <c r="E3" s="6"/>
      <c r="F3" s="6"/>
      <c r="G3" s="6"/>
      <c r="H3" s="6"/>
    </row>
    <row r="4" customFormat="false" ht="21.75" hidden="false" customHeight="true" outlineLevel="0" collapsed="false">
      <c r="A4" s="29" t="s">
        <v>113</v>
      </c>
      <c r="B4" s="29" t="s">
        <v>128</v>
      </c>
      <c r="C4" s="29" t="s">
        <v>129</v>
      </c>
      <c r="D4" s="29" t="s">
        <v>130</v>
      </c>
      <c r="E4" s="29" t="s">
        <v>116</v>
      </c>
      <c r="F4" s="29" t="s">
        <v>131</v>
      </c>
      <c r="G4" s="29" t="s">
        <v>132</v>
      </c>
      <c r="H4" s="29" t="s">
        <v>133</v>
      </c>
    </row>
    <row r="5" customFormat="false" ht="15" hidden="false" customHeight="true" outlineLevel="0" collapsed="false">
      <c r="A5" s="30" t="s">
        <v>118</v>
      </c>
      <c r="B5" s="31" t="n">
        <f aca="false">D5/Assumptions!$D$55</f>
        <v>9039.63076923077</v>
      </c>
      <c r="C5" s="32" t="n">
        <f aca="false">Assumptions!$D$55</f>
        <v>130</v>
      </c>
      <c r="D5" s="31" t="n">
        <f aca="false">Assumptions!$C$29*1000000*Assumptions!$D$29*(1-Assumptions!$L$29)*Assumptions!$C$55</f>
        <v>1175152</v>
      </c>
      <c r="E5" s="32" t="n">
        <f aca="false">Assumptions!$E$55</f>
        <v>48000</v>
      </c>
      <c r="F5" s="33" t="n">
        <f aca="false">D5*E5/1000000000</f>
        <v>56.407296</v>
      </c>
      <c r="G5" s="32" t="n">
        <f aca="false">Assumptions!$F$55</f>
        <v>20000</v>
      </c>
      <c r="H5" s="33" t="n">
        <f aca="false">D5*G5/1000000000</f>
        <v>23.50304</v>
      </c>
    </row>
    <row r="6" customFormat="false" ht="15" hidden="false" customHeight="true" outlineLevel="0" collapsed="false">
      <c r="A6" s="30" t="s">
        <v>119</v>
      </c>
      <c r="B6" s="31" t="n">
        <f aca="false">D6/Assumptions!$D$56</f>
        <v>2913.6</v>
      </c>
      <c r="C6" s="32" t="n">
        <f aca="false">Assumptions!$D$56</f>
        <v>220</v>
      </c>
      <c r="D6" s="31" t="n">
        <f aca="false">Assumptions!$C$29*1000000*Assumptions!$D$29*(1-Assumptions!$L$29)*Assumptions!$C$56</f>
        <v>640992</v>
      </c>
      <c r="E6" s="32" t="n">
        <f aca="false">Assumptions!$E$56</f>
        <v>58000</v>
      </c>
      <c r="F6" s="33" t="n">
        <f aca="false">D6*E6/1000000000</f>
        <v>37.177536</v>
      </c>
      <c r="G6" s="32" t="n">
        <f aca="false">Assumptions!$F$56</f>
        <v>24000</v>
      </c>
      <c r="H6" s="33" t="n">
        <f aca="false">D6*G6/1000000000</f>
        <v>15.383808</v>
      </c>
    </row>
    <row r="7" customFormat="false" ht="15" hidden="false" customHeight="true" outlineLevel="0" collapsed="false">
      <c r="A7" s="30" t="s">
        <v>120</v>
      </c>
      <c r="B7" s="31" t="n">
        <f aca="false">D7/Assumptions!$D$57</f>
        <v>971.2</v>
      </c>
      <c r="C7" s="32" t="n">
        <f aca="false">Assumptions!$D$57</f>
        <v>330</v>
      </c>
      <c r="D7" s="31" t="n">
        <f aca="false">Assumptions!$C$29*1000000*Assumptions!$D$29*(1-Assumptions!$L$29)*Assumptions!$C$57</f>
        <v>320496</v>
      </c>
      <c r="E7" s="32" t="n">
        <f aca="false">Assumptions!$E$57</f>
        <v>72000</v>
      </c>
      <c r="F7" s="33" t="n">
        <f aca="false">D7*E7/1000000000</f>
        <v>23.075712</v>
      </c>
      <c r="G7" s="32" t="n">
        <f aca="false">Assumptions!$F$57</f>
        <v>30000</v>
      </c>
      <c r="H7" s="33" t="n">
        <f aca="false">D7*G7/1000000000</f>
        <v>9.61488</v>
      </c>
    </row>
    <row r="8" customFormat="false" ht="15" hidden="false" customHeight="true" outlineLevel="0" collapsed="false">
      <c r="A8" s="10" t="s">
        <v>134</v>
      </c>
      <c r="B8" s="34" t="n">
        <f aca="false">SUM(B5:B7)</f>
        <v>12924.4307692308</v>
      </c>
      <c r="D8" s="34" t="n">
        <f aca="false">SUM(D5:D7)</f>
        <v>2136640</v>
      </c>
      <c r="F8" s="35" t="n">
        <f aca="false">SUM(F5:F7)</f>
        <v>116.660544</v>
      </c>
      <c r="H8" s="35" t="n">
        <f aca="false">SUM(H5:H7)</f>
        <v>48.501728</v>
      </c>
    </row>
    <row r="9" customFormat="false" ht="15" hidden="false" customHeight="true" outlineLevel="0" collapsed="false">
      <c r="A9" s="12" t="s">
        <v>135</v>
      </c>
      <c r="D9" s="31" t="n">
        <f aca="false">Assumptions!$C$29*1000000*(1-Assumptions!$L$29)</f>
        <v>6677000</v>
      </c>
      <c r="E9" s="32" t="n">
        <f aca="false">Assumptions!$E$29</f>
        <v>3000</v>
      </c>
      <c r="F9" s="33" t="n">
        <f aca="false">D9*E9/1000000000</f>
        <v>20.031</v>
      </c>
    </row>
    <row r="10" customFormat="false" ht="15" hidden="false" customHeight="true" outlineLevel="0" collapsed="false">
      <c r="A10" s="12" t="s">
        <v>136</v>
      </c>
      <c r="B10" s="16" t="n">
        <f aca="false">Assumptions!$G$29</f>
        <v>1</v>
      </c>
    </row>
    <row r="11" customFormat="false" ht="15" hidden="false" customHeight="true" outlineLevel="0" collapsed="false">
      <c r="A11" s="10" t="s">
        <v>137</v>
      </c>
      <c r="F11" s="36" t="n">
        <f aca="false">F8*B10</f>
        <v>116.660544</v>
      </c>
      <c r="G11" s="37" t="s">
        <v>138</v>
      </c>
      <c r="H11" s="36" t="n">
        <f aca="false">H8*B10</f>
        <v>48.501728</v>
      </c>
    </row>
    <row r="12" customFormat="false" ht="15" hidden="false" customHeight="true" outlineLevel="0" collapsed="false">
      <c r="A12" s="12" t="s">
        <v>139</v>
      </c>
      <c r="F12" s="33" t="n">
        <f aca="false">F9*B10</f>
        <v>20.031</v>
      </c>
    </row>
    <row r="13" customFormat="false" ht="15" hidden="false" customHeight="true" outlineLevel="0" collapsed="false">
      <c r="A13" s="10" t="s">
        <v>140</v>
      </c>
      <c r="F13" s="35" t="n">
        <f aca="false">F11-H11-F12</f>
        <v>48.127816</v>
      </c>
      <c r="G13" s="38" t="s">
        <v>141</v>
      </c>
      <c r="H13" s="39" t="n">
        <f aca="false">(F11-H11-F12)/F11</f>
        <v>0.412545787545788</v>
      </c>
    </row>
    <row r="15" customFormat="false" ht="15" hidden="false" customHeight="true" outlineLevel="0" collapsed="false">
      <c r="A15" s="28" t="s">
        <v>142</v>
      </c>
      <c r="B15" s="6"/>
      <c r="C15" s="6"/>
      <c r="D15" s="6"/>
      <c r="E15" s="6"/>
      <c r="F15" s="6"/>
      <c r="G15" s="6"/>
      <c r="H15" s="6"/>
    </row>
    <row r="16" customFormat="false" ht="21.75" hidden="false" customHeight="true" outlineLevel="0" collapsed="false">
      <c r="A16" s="29" t="s">
        <v>113</v>
      </c>
      <c r="B16" s="29" t="s">
        <v>128</v>
      </c>
      <c r="C16" s="29" t="s">
        <v>129</v>
      </c>
      <c r="D16" s="29" t="s">
        <v>130</v>
      </c>
      <c r="E16" s="29" t="s">
        <v>116</v>
      </c>
      <c r="F16" s="29" t="s">
        <v>131</v>
      </c>
      <c r="G16" s="29" t="s">
        <v>132</v>
      </c>
      <c r="H16" s="29" t="s">
        <v>133</v>
      </c>
    </row>
    <row r="17" customFormat="false" ht="15" hidden="false" customHeight="true" outlineLevel="0" collapsed="false">
      <c r="A17" s="30" t="s">
        <v>118</v>
      </c>
      <c r="B17" s="31" t="n">
        <f aca="false">D17/Assumptions!$D$58</f>
        <v>793.8</v>
      </c>
      <c r="C17" s="32" t="n">
        <f aca="false">Assumptions!$D$58</f>
        <v>150</v>
      </c>
      <c r="D17" s="31" t="n">
        <f aca="false">Assumptions!$C$30*1000000*Assumptions!$D$30*(1-Assumptions!$L$30)*Assumptions!$C$58</f>
        <v>119070</v>
      </c>
      <c r="E17" s="32" t="n">
        <f aca="false">Assumptions!$E$58</f>
        <v>55000</v>
      </c>
      <c r="F17" s="33" t="n">
        <f aca="false">D17*E17/1000000000</f>
        <v>6.54885</v>
      </c>
      <c r="G17" s="32" t="n">
        <f aca="false">Assumptions!$F$58</f>
        <v>21000</v>
      </c>
      <c r="H17" s="33" t="n">
        <f aca="false">D17*G17/1000000000</f>
        <v>2.50047</v>
      </c>
    </row>
    <row r="18" customFormat="false" ht="15" hidden="false" customHeight="true" outlineLevel="0" collapsed="false">
      <c r="A18" s="30" t="s">
        <v>119</v>
      </c>
      <c r="B18" s="31" t="n">
        <f aca="false">D18/Assumptions!$D$59</f>
        <v>402.652173913044</v>
      </c>
      <c r="C18" s="32" t="n">
        <f aca="false">Assumptions!$D$59</f>
        <v>230</v>
      </c>
      <c r="D18" s="31" t="n">
        <f aca="false">Assumptions!$C$30*1000000*Assumptions!$D$30*(1-Assumptions!$L$30)*Assumptions!$C$59</f>
        <v>92610</v>
      </c>
      <c r="E18" s="32" t="n">
        <f aca="false">Assumptions!$E$59</f>
        <v>68000</v>
      </c>
      <c r="F18" s="33" t="n">
        <f aca="false">D18*E18/1000000000</f>
        <v>6.29748</v>
      </c>
      <c r="G18" s="32" t="n">
        <f aca="false">Assumptions!$F$59</f>
        <v>25000</v>
      </c>
      <c r="H18" s="33" t="n">
        <f aca="false">D18*G18/1000000000</f>
        <v>2.31525</v>
      </c>
    </row>
    <row r="19" customFormat="false" ht="15" hidden="false" customHeight="true" outlineLevel="0" collapsed="false">
      <c r="A19" s="30" t="s">
        <v>120</v>
      </c>
      <c r="B19" s="31" t="n">
        <f aca="false">D19/Assumptions!$D$60</f>
        <v>147</v>
      </c>
      <c r="C19" s="32" t="n">
        <f aca="false">Assumptions!$D$60</f>
        <v>360</v>
      </c>
      <c r="D19" s="31" t="n">
        <f aca="false">Assumptions!$C$30*1000000*Assumptions!$D$30*(1-Assumptions!$L$30)*Assumptions!$C$60</f>
        <v>52920</v>
      </c>
      <c r="E19" s="32" t="n">
        <f aca="false">Assumptions!$E$60</f>
        <v>82000</v>
      </c>
      <c r="F19" s="33" t="n">
        <f aca="false">D19*E19/1000000000</f>
        <v>4.33944</v>
      </c>
      <c r="G19" s="32" t="n">
        <f aca="false">Assumptions!$F$60</f>
        <v>32000</v>
      </c>
      <c r="H19" s="33" t="n">
        <f aca="false">D19*G19/1000000000</f>
        <v>1.69344</v>
      </c>
    </row>
    <row r="20" customFormat="false" ht="15" hidden="false" customHeight="true" outlineLevel="0" collapsed="false">
      <c r="A20" s="10" t="s">
        <v>134</v>
      </c>
      <c r="B20" s="34" t="n">
        <f aca="false">SUM(B17:B19)</f>
        <v>1343.45217391304</v>
      </c>
      <c r="D20" s="34" t="n">
        <f aca="false">SUM(D17:D19)</f>
        <v>264600</v>
      </c>
      <c r="F20" s="35" t="n">
        <f aca="false">SUM(F17:F19)</f>
        <v>17.18577</v>
      </c>
      <c r="H20" s="35" t="n">
        <f aca="false">SUM(H17:H19)</f>
        <v>6.50916</v>
      </c>
    </row>
    <row r="21" customFormat="false" ht="15" hidden="false" customHeight="true" outlineLevel="0" collapsed="false">
      <c r="A21" s="12" t="s">
        <v>135</v>
      </c>
      <c r="D21" s="31" t="n">
        <f aca="false">Assumptions!$C$30*1000000*(1-Assumptions!$L$30)</f>
        <v>630000</v>
      </c>
      <c r="E21" s="32" t="n">
        <f aca="false">Assumptions!$E$30</f>
        <v>3000</v>
      </c>
      <c r="F21" s="33" t="n">
        <f aca="false">D21*E21/1000000000</f>
        <v>1.89</v>
      </c>
    </row>
    <row r="22" customFormat="false" ht="15" hidden="false" customHeight="true" outlineLevel="0" collapsed="false">
      <c r="A22" s="12" t="s">
        <v>136</v>
      </c>
      <c r="B22" s="16" t="n">
        <f aca="false">Assumptions!$G$30</f>
        <v>1</v>
      </c>
    </row>
    <row r="23" customFormat="false" ht="15" hidden="false" customHeight="true" outlineLevel="0" collapsed="false">
      <c r="A23" s="10" t="s">
        <v>137</v>
      </c>
      <c r="F23" s="36" t="n">
        <f aca="false">F20*B22</f>
        <v>17.18577</v>
      </c>
      <c r="G23" s="37" t="s">
        <v>138</v>
      </c>
      <c r="H23" s="36" t="n">
        <f aca="false">H20*B22</f>
        <v>6.50916</v>
      </c>
    </row>
    <row r="24" customFormat="false" ht="15" hidden="false" customHeight="true" outlineLevel="0" collapsed="false">
      <c r="A24" s="12" t="s">
        <v>139</v>
      </c>
      <c r="F24" s="33" t="n">
        <f aca="false">F21*B22</f>
        <v>1.89</v>
      </c>
    </row>
    <row r="25" customFormat="false" ht="15" hidden="false" customHeight="true" outlineLevel="0" collapsed="false">
      <c r="A25" s="10" t="s">
        <v>140</v>
      </c>
      <c r="F25" s="35" t="n">
        <f aca="false">F23-H23-F24</f>
        <v>8.78661</v>
      </c>
      <c r="G25" s="38" t="s">
        <v>141</v>
      </c>
      <c r="H25" s="39" t="n">
        <f aca="false">(F23-H23-F24)/F23</f>
        <v>0.51127240734631</v>
      </c>
    </row>
    <row r="27" customFormat="false" ht="15" hidden="false" customHeight="true" outlineLevel="0" collapsed="false">
      <c r="A27" s="28" t="s">
        <v>143</v>
      </c>
      <c r="B27" s="6"/>
      <c r="C27" s="6"/>
      <c r="D27" s="6"/>
      <c r="E27" s="6"/>
      <c r="F27" s="6"/>
      <c r="G27" s="6"/>
      <c r="H27" s="6"/>
    </row>
    <row r="28" customFormat="false" ht="21.75" hidden="false" customHeight="true" outlineLevel="0" collapsed="false">
      <c r="A28" s="29" t="s">
        <v>113</v>
      </c>
      <c r="B28" s="29" t="s">
        <v>128</v>
      </c>
      <c r="C28" s="29" t="s">
        <v>129</v>
      </c>
      <c r="D28" s="29" t="s">
        <v>130</v>
      </c>
      <c r="E28" s="29" t="s">
        <v>116</v>
      </c>
      <c r="F28" s="29" t="s">
        <v>131</v>
      </c>
      <c r="G28" s="29" t="s">
        <v>132</v>
      </c>
      <c r="H28" s="29" t="s">
        <v>133</v>
      </c>
    </row>
    <row r="29" customFormat="false" ht="15" hidden="false" customHeight="true" outlineLevel="0" collapsed="false">
      <c r="A29" s="30" t="s">
        <v>118</v>
      </c>
      <c r="B29" s="31" t="n">
        <f aca="false">D29/Assumptions!$D$61</f>
        <v>4614.28571428572</v>
      </c>
      <c r="C29" s="32" t="n">
        <f aca="false">Assumptions!$D$61</f>
        <v>140</v>
      </c>
      <c r="D29" s="31" t="n">
        <f aca="false">Assumptions!$C$31*1000000*Assumptions!$D$31*(1-Assumptions!$L$31)*Assumptions!$C$61</f>
        <v>646000</v>
      </c>
      <c r="E29" s="32" t="n">
        <f aca="false">Assumptions!$E$61</f>
        <v>72000</v>
      </c>
      <c r="F29" s="33" t="n">
        <f aca="false">D29*E29/1000000000</f>
        <v>46.512</v>
      </c>
      <c r="G29" s="32" t="n">
        <f aca="false">Assumptions!$F$61</f>
        <v>24000</v>
      </c>
      <c r="H29" s="33" t="n">
        <f aca="false">D29*G29/1000000000</f>
        <v>15.504</v>
      </c>
    </row>
    <row r="30" customFormat="false" ht="15" hidden="false" customHeight="true" outlineLevel="0" collapsed="false">
      <c r="A30" s="30" t="s">
        <v>119</v>
      </c>
      <c r="B30" s="31" t="n">
        <f aca="false">D30/Assumptions!$D$62</f>
        <v>1845.71428571429</v>
      </c>
      <c r="C30" s="32" t="n">
        <f aca="false">Assumptions!$D$62</f>
        <v>210</v>
      </c>
      <c r="D30" s="31" t="n">
        <f aca="false">Assumptions!$C$31*1000000*Assumptions!$D$31*(1-Assumptions!$L$31)*Assumptions!$C$62</f>
        <v>387600</v>
      </c>
      <c r="E30" s="32" t="n">
        <f aca="false">Assumptions!$E$62</f>
        <v>90000</v>
      </c>
      <c r="F30" s="33" t="n">
        <f aca="false">D30*E30/1000000000</f>
        <v>34.884</v>
      </c>
      <c r="G30" s="32" t="n">
        <f aca="false">Assumptions!$F$62</f>
        <v>28000</v>
      </c>
      <c r="H30" s="33" t="n">
        <f aca="false">D30*G30/1000000000</f>
        <v>10.8528</v>
      </c>
    </row>
    <row r="31" customFormat="false" ht="15" hidden="false" customHeight="true" outlineLevel="0" collapsed="false">
      <c r="A31" s="30" t="s">
        <v>120</v>
      </c>
      <c r="B31" s="31" t="n">
        <f aca="false">D31/Assumptions!$D$63</f>
        <v>760</v>
      </c>
      <c r="C31" s="32" t="n">
        <f aca="false">Assumptions!$D$63</f>
        <v>340</v>
      </c>
      <c r="D31" s="31" t="n">
        <f aca="false">Assumptions!$C$31*1000000*Assumptions!$D$31*(1-Assumptions!$L$31)*Assumptions!$C$63</f>
        <v>258400</v>
      </c>
      <c r="E31" s="32" t="n">
        <f aca="false">Assumptions!$E$63</f>
        <v>120000</v>
      </c>
      <c r="F31" s="33" t="n">
        <f aca="false">D31*E31/1000000000</f>
        <v>31.008</v>
      </c>
      <c r="G31" s="32" t="n">
        <f aca="false">Assumptions!$F$63</f>
        <v>36000</v>
      </c>
      <c r="H31" s="33" t="n">
        <f aca="false">D31*G31/1000000000</f>
        <v>9.3024</v>
      </c>
    </row>
    <row r="32" customFormat="false" ht="15" hidden="false" customHeight="true" outlineLevel="0" collapsed="false">
      <c r="A32" s="10" t="s">
        <v>134</v>
      </c>
      <c r="B32" s="34" t="n">
        <f aca="false">SUM(B29:B31)</f>
        <v>7220</v>
      </c>
      <c r="D32" s="34" t="n">
        <f aca="false">SUM(D29:D31)</f>
        <v>1292000</v>
      </c>
      <c r="F32" s="35" t="n">
        <f aca="false">SUM(F29:F31)</f>
        <v>112.404</v>
      </c>
      <c r="H32" s="35" t="n">
        <f aca="false">SUM(H29:H31)</f>
        <v>35.6592</v>
      </c>
    </row>
    <row r="33" customFormat="false" ht="15" hidden="false" customHeight="true" outlineLevel="0" collapsed="false">
      <c r="A33" s="12" t="s">
        <v>135</v>
      </c>
      <c r="D33" s="31" t="n">
        <f aca="false">Assumptions!$C$31*1000000*(1-Assumptions!$L$31)</f>
        <v>3400000</v>
      </c>
      <c r="E33" s="32" t="n">
        <f aca="false">Assumptions!$E$31</f>
        <v>8000</v>
      </c>
      <c r="F33" s="33" t="n">
        <f aca="false">D33*E33/1000000000</f>
        <v>27.2</v>
      </c>
    </row>
    <row r="34" customFormat="false" ht="15" hidden="false" customHeight="true" outlineLevel="0" collapsed="false">
      <c r="A34" s="12" t="s">
        <v>136</v>
      </c>
      <c r="B34" s="16" t="n">
        <f aca="false">Assumptions!$G$31</f>
        <v>0.5</v>
      </c>
    </row>
    <row r="35" customFormat="false" ht="15" hidden="false" customHeight="true" outlineLevel="0" collapsed="false">
      <c r="A35" s="10" t="s">
        <v>137</v>
      </c>
      <c r="F35" s="36" t="n">
        <f aca="false">F32*B34</f>
        <v>56.202</v>
      </c>
      <c r="G35" s="37" t="s">
        <v>138</v>
      </c>
      <c r="H35" s="36" t="n">
        <f aca="false">H32*B34</f>
        <v>17.8296</v>
      </c>
    </row>
    <row r="36" customFormat="false" ht="15" hidden="false" customHeight="true" outlineLevel="0" collapsed="false">
      <c r="A36" s="12" t="s">
        <v>139</v>
      </c>
      <c r="F36" s="33" t="n">
        <f aca="false">F33*B34</f>
        <v>13.6</v>
      </c>
    </row>
    <row r="37" customFormat="false" ht="15" hidden="false" customHeight="true" outlineLevel="0" collapsed="false">
      <c r="A37" s="10" t="s">
        <v>140</v>
      </c>
      <c r="F37" s="35" t="n">
        <f aca="false">F35-H35-F36</f>
        <v>24.7724</v>
      </c>
      <c r="G37" s="38" t="s">
        <v>141</v>
      </c>
      <c r="H37" s="39" t="n">
        <f aca="false">(F35-H35-F36)/F35</f>
        <v>0.440774349667272</v>
      </c>
    </row>
    <row r="39" customFormat="false" ht="15" hidden="false" customHeight="true" outlineLevel="0" collapsed="false">
      <c r="A39" s="28" t="s">
        <v>144</v>
      </c>
      <c r="B39" s="6"/>
      <c r="C39" s="6"/>
      <c r="D39" s="6"/>
      <c r="E39" s="6"/>
      <c r="F39" s="6"/>
      <c r="G39" s="6"/>
      <c r="H39" s="6"/>
    </row>
    <row r="40" customFormat="false" ht="21.75" hidden="false" customHeight="true" outlineLevel="0" collapsed="false">
      <c r="A40" s="29" t="s">
        <v>113</v>
      </c>
      <c r="B40" s="29" t="s">
        <v>128</v>
      </c>
      <c r="C40" s="29" t="s">
        <v>129</v>
      </c>
      <c r="D40" s="29" t="s">
        <v>130</v>
      </c>
      <c r="E40" s="29" t="s">
        <v>116</v>
      </c>
      <c r="F40" s="29" t="s">
        <v>131</v>
      </c>
      <c r="G40" s="29" t="s">
        <v>132</v>
      </c>
      <c r="H40" s="29" t="s">
        <v>133</v>
      </c>
    </row>
    <row r="41" customFormat="false" ht="15" hidden="false" customHeight="true" outlineLevel="0" collapsed="false">
      <c r="A41" s="30" t="s">
        <v>121</v>
      </c>
      <c r="B41" s="31" t="n">
        <f aca="false">D41/Assumptions!$D$64</f>
        <v>425.25</v>
      </c>
      <c r="C41" s="32" t="n">
        <f aca="false">Assumptions!$D$64</f>
        <v>200</v>
      </c>
      <c r="D41" s="31" t="n">
        <f aca="false">Assumptions!$C$32*1000000*Assumptions!$D$32*(1-Assumptions!$L$32)*Assumptions!$C$64</f>
        <v>85050</v>
      </c>
      <c r="E41" s="32" t="n">
        <f aca="false">Assumptions!$E$64</f>
        <v>82000</v>
      </c>
      <c r="F41" s="33" t="n">
        <f aca="false">D41*E41/1000000000</f>
        <v>6.9741</v>
      </c>
      <c r="G41" s="32" t="n">
        <f aca="false">Assumptions!$F$64</f>
        <v>30000</v>
      </c>
      <c r="H41" s="33" t="n">
        <f aca="false">D41*G41/1000000000</f>
        <v>2.5515</v>
      </c>
    </row>
    <row r="42" customFormat="false" ht="15" hidden="false" customHeight="true" outlineLevel="0" collapsed="false">
      <c r="A42" s="30" t="s">
        <v>122</v>
      </c>
      <c r="B42" s="31" t="n">
        <f aca="false">D42/Assumptions!$D$65</f>
        <v>226.8</v>
      </c>
      <c r="C42" s="32" t="n">
        <f aca="false">Assumptions!$D$65</f>
        <v>250</v>
      </c>
      <c r="D42" s="31" t="n">
        <f aca="false">Assumptions!$C$32*1000000*Assumptions!$D$32*(1-Assumptions!$L$32)*Assumptions!$C$65</f>
        <v>56700</v>
      </c>
      <c r="E42" s="32" t="n">
        <f aca="false">Assumptions!$E$65</f>
        <v>90000</v>
      </c>
      <c r="F42" s="33" t="n">
        <f aca="false">D42*E42/1000000000</f>
        <v>5.103</v>
      </c>
      <c r="G42" s="32" t="n">
        <f aca="false">Assumptions!$F$65</f>
        <v>33000</v>
      </c>
      <c r="H42" s="33" t="n">
        <f aca="false">D42*G42/1000000000</f>
        <v>1.8711</v>
      </c>
    </row>
    <row r="43" customFormat="false" ht="15" hidden="false" customHeight="true" outlineLevel="0" collapsed="false">
      <c r="A43" s="30" t="s">
        <v>120</v>
      </c>
      <c r="B43" s="31" t="n">
        <f aca="false">D43/Assumptions!$D$66</f>
        <v>131.25</v>
      </c>
      <c r="C43" s="32" t="n">
        <f aca="false">Assumptions!$D$66</f>
        <v>360</v>
      </c>
      <c r="D43" s="31" t="n">
        <f aca="false">Assumptions!$C$32*1000000*Assumptions!$D$32*(1-Assumptions!$L$32)*Assumptions!$C$66</f>
        <v>47250</v>
      </c>
      <c r="E43" s="32" t="n">
        <f aca="false">Assumptions!$E$66</f>
        <v>98000</v>
      </c>
      <c r="F43" s="33" t="n">
        <f aca="false">D43*E43/1000000000</f>
        <v>4.6305</v>
      </c>
      <c r="G43" s="32" t="n">
        <f aca="false">Assumptions!$F$66</f>
        <v>36000</v>
      </c>
      <c r="H43" s="33" t="n">
        <f aca="false">D43*G43/1000000000</f>
        <v>1.701</v>
      </c>
    </row>
    <row r="44" customFormat="false" ht="15" hidden="false" customHeight="true" outlineLevel="0" collapsed="false">
      <c r="A44" s="10" t="s">
        <v>134</v>
      </c>
      <c r="B44" s="34" t="n">
        <f aca="false">SUM(B41:B43)</f>
        <v>783.3</v>
      </c>
      <c r="D44" s="34" t="n">
        <f aca="false">SUM(D41:D43)</f>
        <v>189000</v>
      </c>
      <c r="F44" s="35" t="n">
        <f aca="false">SUM(F41:F43)</f>
        <v>16.7076</v>
      </c>
      <c r="H44" s="35" t="n">
        <f aca="false">SUM(H41:H43)</f>
        <v>6.1236</v>
      </c>
    </row>
    <row r="45" customFormat="false" ht="15" hidden="false" customHeight="true" outlineLevel="0" collapsed="false">
      <c r="A45" s="12" t="s">
        <v>135</v>
      </c>
      <c r="D45" s="31" t="n">
        <f aca="false">Assumptions!$C$32*1000000*(1-Assumptions!$L$32)</f>
        <v>420000</v>
      </c>
      <c r="E45" s="32" t="n">
        <f aca="false">Assumptions!$E$32</f>
        <v>8000</v>
      </c>
      <c r="F45" s="33" t="n">
        <f aca="false">D45*E45/1000000000</f>
        <v>3.36</v>
      </c>
    </row>
    <row r="46" customFormat="false" ht="15" hidden="false" customHeight="true" outlineLevel="0" collapsed="false">
      <c r="A46" s="12" t="s">
        <v>136</v>
      </c>
      <c r="B46" s="16" t="n">
        <f aca="false">Assumptions!$G$32</f>
        <v>1</v>
      </c>
    </row>
    <row r="47" customFormat="false" ht="15" hidden="false" customHeight="true" outlineLevel="0" collapsed="false">
      <c r="A47" s="10" t="s">
        <v>137</v>
      </c>
      <c r="F47" s="36" t="n">
        <f aca="false">F44*B46</f>
        <v>16.7076</v>
      </c>
      <c r="G47" s="37" t="s">
        <v>138</v>
      </c>
      <c r="H47" s="36" t="n">
        <f aca="false">H44*B46</f>
        <v>6.1236</v>
      </c>
    </row>
    <row r="48" customFormat="false" ht="15" hidden="false" customHeight="true" outlineLevel="0" collapsed="false">
      <c r="A48" s="12" t="s">
        <v>139</v>
      </c>
      <c r="F48" s="33" t="n">
        <f aca="false">F45*B46</f>
        <v>3.36</v>
      </c>
    </row>
    <row r="49" customFormat="false" ht="15" hidden="false" customHeight="true" outlineLevel="0" collapsed="false">
      <c r="A49" s="10" t="s">
        <v>140</v>
      </c>
      <c r="F49" s="35" t="n">
        <f aca="false">F47-H47-F48</f>
        <v>7.224</v>
      </c>
      <c r="G49" s="38" t="s">
        <v>141</v>
      </c>
      <c r="H49" s="39" t="n">
        <f aca="false">(F47-H47-F48)/F47</f>
        <v>0.432378079436903</v>
      </c>
    </row>
    <row r="51" customFormat="false" ht="15" hidden="false" customHeight="true" outlineLevel="0" collapsed="false">
      <c r="A51" s="28" t="s">
        <v>145</v>
      </c>
      <c r="B51" s="6"/>
      <c r="C51" s="6"/>
      <c r="D51" s="6"/>
      <c r="E51" s="6"/>
      <c r="F51" s="6"/>
      <c r="G51" s="6"/>
      <c r="H51" s="6"/>
    </row>
    <row r="52" customFormat="false" ht="21.75" hidden="false" customHeight="true" outlineLevel="0" collapsed="false">
      <c r="A52" s="29" t="s">
        <v>113</v>
      </c>
      <c r="B52" s="29" t="s">
        <v>128</v>
      </c>
      <c r="C52" s="29" t="s">
        <v>129</v>
      </c>
      <c r="D52" s="29" t="s">
        <v>130</v>
      </c>
      <c r="E52" s="29" t="s">
        <v>116</v>
      </c>
      <c r="F52" s="29" t="s">
        <v>131</v>
      </c>
      <c r="G52" s="29" t="s">
        <v>132</v>
      </c>
      <c r="H52" s="29" t="s">
        <v>133</v>
      </c>
    </row>
    <row r="53" customFormat="false" ht="15" hidden="false" customHeight="true" outlineLevel="0" collapsed="false">
      <c r="A53" s="30" t="s">
        <v>118</v>
      </c>
      <c r="B53" s="31" t="n">
        <f aca="false">D53/Assumptions!$D$67</f>
        <v>1060.5</v>
      </c>
      <c r="C53" s="32" t="n">
        <f aca="false">Assumptions!$D$67</f>
        <v>150</v>
      </c>
      <c r="D53" s="31" t="n">
        <f aca="false">Assumptions!$C$33*1000000*Assumptions!$D$33*(1-Assumptions!$L$33)*Assumptions!$C$67</f>
        <v>159075</v>
      </c>
      <c r="E53" s="32" t="n">
        <f aca="false">Assumptions!$E$67</f>
        <v>61500</v>
      </c>
      <c r="F53" s="33" t="n">
        <f aca="false">D53*E53/1000000000</f>
        <v>9.7831125</v>
      </c>
      <c r="G53" s="32" t="n">
        <f aca="false">Assumptions!$F$67</f>
        <v>22000</v>
      </c>
      <c r="H53" s="33" t="n">
        <f aca="false">D53*G53/1000000000</f>
        <v>3.49965</v>
      </c>
    </row>
    <row r="54" customFormat="false" ht="15" hidden="false" customHeight="true" outlineLevel="0" collapsed="false">
      <c r="A54" s="30" t="s">
        <v>119</v>
      </c>
      <c r="B54" s="31" t="n">
        <f aca="false">D54/Assumptions!$D$68</f>
        <v>414.978260869565</v>
      </c>
      <c r="C54" s="32" t="n">
        <f aca="false">Assumptions!$D$68</f>
        <v>230</v>
      </c>
      <c r="D54" s="31" t="n">
        <f aca="false">Assumptions!$C$33*1000000*Assumptions!$D$33*(1-Assumptions!$L$33)*Assumptions!$C$68</f>
        <v>95445</v>
      </c>
      <c r="E54" s="32" t="n">
        <f aca="false">Assumptions!$E$68</f>
        <v>75000</v>
      </c>
      <c r="F54" s="33" t="n">
        <f aca="false">D54*E54/1000000000</f>
        <v>7.158375</v>
      </c>
      <c r="G54" s="32" t="n">
        <f aca="false">Assumptions!$F$68</f>
        <v>26000</v>
      </c>
      <c r="H54" s="33" t="n">
        <f aca="false">D54*G54/1000000000</f>
        <v>2.48157</v>
      </c>
    </row>
    <row r="55" customFormat="false" ht="15" hidden="false" customHeight="true" outlineLevel="0" collapsed="false">
      <c r="A55" s="30" t="s">
        <v>120</v>
      </c>
      <c r="B55" s="31" t="n">
        <f aca="false">D55/Assumptions!$D$69</f>
        <v>181.8</v>
      </c>
      <c r="C55" s="32" t="n">
        <f aca="false">Assumptions!$D$69</f>
        <v>350</v>
      </c>
      <c r="D55" s="31" t="n">
        <f aca="false">Assumptions!$C$33*1000000*Assumptions!$D$33*(1-Assumptions!$L$33)*Assumptions!$C$69</f>
        <v>63630</v>
      </c>
      <c r="E55" s="32" t="n">
        <f aca="false">Assumptions!$E$69</f>
        <v>97000</v>
      </c>
      <c r="F55" s="33" t="n">
        <f aca="false">D55*E55/1000000000</f>
        <v>6.17211</v>
      </c>
      <c r="G55" s="32" t="n">
        <f aca="false">Assumptions!$F$69</f>
        <v>34000</v>
      </c>
      <c r="H55" s="33" t="n">
        <f aca="false">D55*G55/1000000000</f>
        <v>2.16342</v>
      </c>
    </row>
    <row r="56" customFormat="false" ht="15" hidden="false" customHeight="true" outlineLevel="0" collapsed="false">
      <c r="A56" s="10" t="s">
        <v>134</v>
      </c>
      <c r="B56" s="34" t="n">
        <f aca="false">SUM(B53:B55)</f>
        <v>1657.27826086957</v>
      </c>
      <c r="D56" s="34" t="n">
        <f aca="false">SUM(D53:D55)</f>
        <v>318150</v>
      </c>
      <c r="F56" s="35" t="n">
        <f aca="false">SUM(F53:F55)</f>
        <v>23.1135975</v>
      </c>
      <c r="H56" s="35" t="n">
        <f aca="false">SUM(H53:H55)</f>
        <v>8.14464</v>
      </c>
    </row>
    <row r="57" customFormat="false" ht="15" hidden="false" customHeight="true" outlineLevel="0" collapsed="false">
      <c r="A57" s="12" t="s">
        <v>135</v>
      </c>
      <c r="D57" s="31" t="n">
        <f aca="false">Assumptions!$C$33*1000000*(1-Assumptions!$L$33)</f>
        <v>909000</v>
      </c>
      <c r="E57" s="32" t="n">
        <f aca="false">Assumptions!$E$33</f>
        <v>2500</v>
      </c>
      <c r="F57" s="33" t="n">
        <f aca="false">D57*E57/1000000000</f>
        <v>2.2725</v>
      </c>
    </row>
    <row r="58" customFormat="false" ht="15" hidden="false" customHeight="true" outlineLevel="0" collapsed="false">
      <c r="A58" s="12" t="s">
        <v>136</v>
      </c>
      <c r="B58" s="16" t="n">
        <f aca="false">Assumptions!$G$33</f>
        <v>1</v>
      </c>
    </row>
    <row r="59" customFormat="false" ht="15" hidden="false" customHeight="true" outlineLevel="0" collapsed="false">
      <c r="A59" s="10" t="s">
        <v>137</v>
      </c>
      <c r="F59" s="36" t="n">
        <f aca="false">F56*B58</f>
        <v>23.1135975</v>
      </c>
      <c r="G59" s="37" t="s">
        <v>138</v>
      </c>
      <c r="H59" s="36" t="n">
        <f aca="false">H56*B58</f>
        <v>8.14464</v>
      </c>
    </row>
    <row r="60" customFormat="false" ht="15" hidden="false" customHeight="true" outlineLevel="0" collapsed="false">
      <c r="A60" s="12" t="s">
        <v>139</v>
      </c>
      <c r="F60" s="33" t="n">
        <f aca="false">F57*B58</f>
        <v>2.2725</v>
      </c>
    </row>
    <row r="61" customFormat="false" ht="15" hidden="false" customHeight="true" outlineLevel="0" collapsed="false">
      <c r="A61" s="10" t="s">
        <v>140</v>
      </c>
      <c r="F61" s="35" t="n">
        <f aca="false">F59-H59-F60</f>
        <v>12.6964575</v>
      </c>
      <c r="G61" s="38" t="s">
        <v>141</v>
      </c>
      <c r="H61" s="39" t="n">
        <f aca="false">(F59-H59-F60)/F59</f>
        <v>0.549306852816832</v>
      </c>
    </row>
    <row r="63" customFormat="false" ht="15" hidden="false" customHeight="true" outlineLevel="0" collapsed="false">
      <c r="A63" s="28" t="s">
        <v>146</v>
      </c>
      <c r="B63" s="6"/>
      <c r="C63" s="6"/>
      <c r="D63" s="6"/>
      <c r="E63" s="6"/>
      <c r="F63" s="6"/>
      <c r="G63" s="6"/>
      <c r="H63" s="6"/>
    </row>
    <row r="64" customFormat="false" ht="21.75" hidden="false" customHeight="true" outlineLevel="0" collapsed="false">
      <c r="A64" s="29" t="s">
        <v>113</v>
      </c>
      <c r="B64" s="29" t="s">
        <v>128</v>
      </c>
      <c r="C64" s="29" t="s">
        <v>129</v>
      </c>
      <c r="D64" s="29" t="s">
        <v>130</v>
      </c>
      <c r="E64" s="29" t="s">
        <v>116</v>
      </c>
      <c r="F64" s="29" t="s">
        <v>131</v>
      </c>
      <c r="G64" s="29" t="s">
        <v>132</v>
      </c>
      <c r="H64" s="29" t="s">
        <v>133</v>
      </c>
    </row>
    <row r="65" customFormat="false" ht="15" hidden="false" customHeight="true" outlineLevel="0" collapsed="false">
      <c r="A65" s="30" t="s">
        <v>118</v>
      </c>
      <c r="B65" s="31" t="n">
        <f aca="false">D65/Assumptions!$D$70</f>
        <v>378</v>
      </c>
      <c r="C65" s="32" t="n">
        <f aca="false">Assumptions!$D$70</f>
        <v>150</v>
      </c>
      <c r="D65" s="31" t="n">
        <f aca="false">Assumptions!$C$34*1000000*Assumptions!$D$34*(1-Assumptions!$L$34)*Assumptions!$C$70</f>
        <v>56700</v>
      </c>
      <c r="E65" s="32" t="n">
        <f aca="false">Assumptions!$E$70</f>
        <v>40000</v>
      </c>
      <c r="F65" s="33" t="n">
        <f aca="false">D65*E65/1000000000</f>
        <v>2.268</v>
      </c>
      <c r="G65" s="32" t="n">
        <f aca="false">Assumptions!$F$70</f>
        <v>17000</v>
      </c>
      <c r="H65" s="33" t="n">
        <f aca="false">D65*G65/1000000000</f>
        <v>0.9639</v>
      </c>
    </row>
    <row r="66" customFormat="false" ht="15" hidden="false" customHeight="true" outlineLevel="0" collapsed="false">
      <c r="A66" s="30" t="s">
        <v>119</v>
      </c>
      <c r="B66" s="31" t="n">
        <f aca="false">D66/Assumptions!$D$71</f>
        <v>112.5</v>
      </c>
      <c r="C66" s="32" t="n">
        <f aca="false">Assumptions!$D$71</f>
        <v>210</v>
      </c>
      <c r="D66" s="31" t="n">
        <f aca="false">Assumptions!$C$34*1000000*Assumptions!$D$34*(1-Assumptions!$L$34)*Assumptions!$C$71</f>
        <v>23625</v>
      </c>
      <c r="E66" s="32" t="n">
        <f aca="false">Assumptions!$E$71</f>
        <v>48000</v>
      </c>
      <c r="F66" s="33" t="n">
        <f aca="false">D66*E66/1000000000</f>
        <v>1.134</v>
      </c>
      <c r="G66" s="32" t="n">
        <f aca="false">Assumptions!$F$71</f>
        <v>20000</v>
      </c>
      <c r="H66" s="33" t="n">
        <f aca="false">D66*G66/1000000000</f>
        <v>0.4725</v>
      </c>
    </row>
    <row r="67" customFormat="false" ht="15" hidden="false" customHeight="true" outlineLevel="0" collapsed="false">
      <c r="A67" s="30" t="s">
        <v>120</v>
      </c>
      <c r="B67" s="31" t="n">
        <f aca="false">D67/Assumptions!$D$72</f>
        <v>44.296875</v>
      </c>
      <c r="C67" s="32" t="n">
        <f aca="false">Assumptions!$D$72</f>
        <v>320</v>
      </c>
      <c r="D67" s="31" t="n">
        <f aca="false">Assumptions!$C$34*1000000*Assumptions!$D$34*(1-Assumptions!$L$34)*Assumptions!$C$72</f>
        <v>14175</v>
      </c>
      <c r="E67" s="32" t="n">
        <f aca="false">Assumptions!$E$72</f>
        <v>60000</v>
      </c>
      <c r="F67" s="33" t="n">
        <f aca="false">D67*E67/1000000000</f>
        <v>0.8505</v>
      </c>
      <c r="G67" s="32" t="n">
        <f aca="false">Assumptions!$F$72</f>
        <v>26000</v>
      </c>
      <c r="H67" s="33" t="n">
        <f aca="false">D67*G67/1000000000</f>
        <v>0.36855</v>
      </c>
    </row>
    <row r="68" customFormat="false" ht="15" hidden="false" customHeight="true" outlineLevel="0" collapsed="false">
      <c r="A68" s="10" t="s">
        <v>134</v>
      </c>
      <c r="B68" s="34" t="n">
        <f aca="false">SUM(B65:B67)</f>
        <v>534.796875</v>
      </c>
      <c r="D68" s="34" t="n">
        <f aca="false">SUM(D65:D67)</f>
        <v>94500</v>
      </c>
      <c r="F68" s="35" t="n">
        <f aca="false">SUM(F65:F67)</f>
        <v>4.2525</v>
      </c>
      <c r="H68" s="35" t="n">
        <f aca="false">SUM(H65:H67)</f>
        <v>1.80495</v>
      </c>
    </row>
    <row r="69" customFormat="false" ht="15" hidden="false" customHeight="true" outlineLevel="0" collapsed="false">
      <c r="A69" s="12" t="s">
        <v>135</v>
      </c>
      <c r="D69" s="31" t="n">
        <f aca="false">Assumptions!$C$34*1000000*(1-Assumptions!$L$34)</f>
        <v>210000</v>
      </c>
      <c r="E69" s="32" t="n">
        <f aca="false">Assumptions!$E$34</f>
        <v>3500</v>
      </c>
      <c r="F69" s="33" t="n">
        <f aca="false">D69*E69/1000000000</f>
        <v>0.735</v>
      </c>
    </row>
    <row r="70" customFormat="false" ht="15" hidden="false" customHeight="true" outlineLevel="0" collapsed="false">
      <c r="A70" s="12" t="s">
        <v>136</v>
      </c>
      <c r="B70" s="16" t="n">
        <f aca="false">Assumptions!$G$34</f>
        <v>1</v>
      </c>
    </row>
    <row r="71" customFormat="false" ht="15" hidden="false" customHeight="true" outlineLevel="0" collapsed="false">
      <c r="A71" s="10" t="s">
        <v>137</v>
      </c>
      <c r="F71" s="36" t="n">
        <f aca="false">F68*B70</f>
        <v>4.2525</v>
      </c>
      <c r="G71" s="37" t="s">
        <v>138</v>
      </c>
      <c r="H71" s="36" t="n">
        <f aca="false">H68*B70</f>
        <v>1.80495</v>
      </c>
    </row>
    <row r="72" customFormat="false" ht="15" hidden="false" customHeight="true" outlineLevel="0" collapsed="false">
      <c r="A72" s="12" t="s">
        <v>139</v>
      </c>
      <c r="F72" s="33" t="n">
        <f aca="false">F69*B70</f>
        <v>0.735</v>
      </c>
    </row>
    <row r="73" customFormat="false" ht="15" hidden="false" customHeight="true" outlineLevel="0" collapsed="false">
      <c r="A73" s="10" t="s">
        <v>140</v>
      </c>
      <c r="F73" s="35" t="n">
        <f aca="false">F71-H71-F72</f>
        <v>1.71255</v>
      </c>
      <c r="G73" s="38" t="s">
        <v>141</v>
      </c>
      <c r="H73" s="39" t="n">
        <f aca="false">(F71-H71-F72)/F71</f>
        <v>0.402716049382716</v>
      </c>
    </row>
    <row r="75" customFormat="false" ht="15" hidden="false" customHeight="true" outlineLevel="0" collapsed="false">
      <c r="A75" s="28" t="s">
        <v>147</v>
      </c>
      <c r="B75" s="6"/>
      <c r="C75" s="6"/>
      <c r="D75" s="6"/>
      <c r="E75" s="6"/>
      <c r="F75" s="6"/>
      <c r="G75" s="6"/>
      <c r="H75" s="6"/>
    </row>
    <row r="76" customFormat="false" ht="21.75" hidden="false" customHeight="true" outlineLevel="0" collapsed="false">
      <c r="A76" s="29" t="s">
        <v>113</v>
      </c>
      <c r="B76" s="29" t="s">
        <v>128</v>
      </c>
      <c r="C76" s="29" t="s">
        <v>129</v>
      </c>
      <c r="D76" s="29" t="s">
        <v>130</v>
      </c>
      <c r="E76" s="29" t="s">
        <v>116</v>
      </c>
      <c r="F76" s="29" t="s">
        <v>131</v>
      </c>
      <c r="G76" s="29" t="s">
        <v>132</v>
      </c>
      <c r="H76" s="29" t="s">
        <v>133</v>
      </c>
    </row>
    <row r="77" customFormat="false" ht="15" hidden="false" customHeight="true" outlineLevel="0" collapsed="false">
      <c r="A77" s="30" t="s">
        <v>118</v>
      </c>
      <c r="B77" s="31" t="n">
        <f aca="false">D77/Assumptions!$D$73</f>
        <v>375.466666666667</v>
      </c>
      <c r="C77" s="32" t="n">
        <f aca="false">Assumptions!$D$73</f>
        <v>150</v>
      </c>
      <c r="D77" s="31" t="n">
        <f aca="false">Assumptions!$C$35*1000000*Assumptions!$D$35*(1-Assumptions!$L$35)*Assumptions!$C$73</f>
        <v>56320</v>
      </c>
      <c r="E77" s="32" t="n">
        <f aca="false">Assumptions!$E$73</f>
        <v>42000</v>
      </c>
      <c r="F77" s="33" t="n">
        <f aca="false">D77*E77/1000000000</f>
        <v>2.36544</v>
      </c>
      <c r="G77" s="32" t="n">
        <f aca="false">Assumptions!$F$73</f>
        <v>18000</v>
      </c>
      <c r="H77" s="33" t="n">
        <f aca="false">D77*G77/1000000000</f>
        <v>1.01376</v>
      </c>
    </row>
    <row r="78" customFormat="false" ht="15" hidden="false" customHeight="true" outlineLevel="0" collapsed="false">
      <c r="A78" s="30" t="s">
        <v>119</v>
      </c>
      <c r="B78" s="31" t="n">
        <f aca="false">D78/Assumptions!$D$74</f>
        <v>402.285714285714</v>
      </c>
      <c r="C78" s="32" t="n">
        <f aca="false">Assumptions!$D$74</f>
        <v>210</v>
      </c>
      <c r="D78" s="31" t="n">
        <f aca="false">Assumptions!$C$35*1000000*Assumptions!$D$35*(1-Assumptions!$L$35)*Assumptions!$C$74</f>
        <v>84480</v>
      </c>
      <c r="E78" s="32" t="n">
        <f aca="false">Assumptions!$E$74</f>
        <v>52000</v>
      </c>
      <c r="F78" s="33" t="n">
        <f aca="false">D78*E78/1000000000</f>
        <v>4.39296</v>
      </c>
      <c r="G78" s="32" t="n">
        <f aca="false">Assumptions!$F$74</f>
        <v>21000</v>
      </c>
      <c r="H78" s="33" t="n">
        <f aca="false">D78*G78/1000000000</f>
        <v>1.77408</v>
      </c>
    </row>
    <row r="79" customFormat="false" ht="15" hidden="false" customHeight="true" outlineLevel="0" collapsed="false">
      <c r="A79" s="30" t="s">
        <v>120</v>
      </c>
      <c r="B79" s="31" t="n">
        <f aca="false">D79/Assumptions!$D$75</f>
        <v>426.666666666667</v>
      </c>
      <c r="C79" s="32" t="n">
        <f aca="false">Assumptions!$D$75</f>
        <v>330</v>
      </c>
      <c r="D79" s="31" t="n">
        <f aca="false">Assumptions!$C$35*1000000*Assumptions!$D$35*(1-Assumptions!$L$35)*Assumptions!$C$75</f>
        <v>140800</v>
      </c>
      <c r="E79" s="32" t="n">
        <f aca="false">Assumptions!$E$75</f>
        <v>66000</v>
      </c>
      <c r="F79" s="33" t="n">
        <f aca="false">D79*E79/1000000000</f>
        <v>9.2928</v>
      </c>
      <c r="G79" s="32" t="n">
        <f aca="false">Assumptions!$F$75</f>
        <v>27000</v>
      </c>
      <c r="H79" s="33" t="n">
        <f aca="false">D79*G79/1000000000</f>
        <v>3.8016</v>
      </c>
    </row>
    <row r="80" customFormat="false" ht="15" hidden="false" customHeight="true" outlineLevel="0" collapsed="false">
      <c r="A80" s="10" t="s">
        <v>134</v>
      </c>
      <c r="B80" s="34" t="n">
        <f aca="false">SUM(B77:B79)</f>
        <v>1204.41904761905</v>
      </c>
      <c r="D80" s="34" t="n">
        <f aca="false">SUM(D77:D79)</f>
        <v>281600</v>
      </c>
      <c r="F80" s="35" t="n">
        <f aca="false">SUM(F77:F79)</f>
        <v>16.0512</v>
      </c>
      <c r="H80" s="35" t="n">
        <f aca="false">SUM(H77:H79)</f>
        <v>6.58944</v>
      </c>
    </row>
    <row r="81" customFormat="false" ht="15" hidden="false" customHeight="true" outlineLevel="0" collapsed="false">
      <c r="A81" s="12" t="s">
        <v>135</v>
      </c>
      <c r="D81" s="31" t="n">
        <f aca="false">Assumptions!$C$35*1000000*(1-Assumptions!$L$35)</f>
        <v>704000</v>
      </c>
      <c r="E81" s="32" t="n">
        <f aca="false">Assumptions!$E$35</f>
        <v>4500</v>
      </c>
      <c r="F81" s="33" t="n">
        <f aca="false">D81*E81/1000000000</f>
        <v>3.168</v>
      </c>
    </row>
    <row r="82" customFormat="false" ht="15" hidden="false" customHeight="true" outlineLevel="0" collapsed="false">
      <c r="A82" s="12" t="s">
        <v>136</v>
      </c>
      <c r="B82" s="16" t="n">
        <f aca="false">Assumptions!$G$35</f>
        <v>1</v>
      </c>
    </row>
    <row r="83" customFormat="false" ht="15" hidden="false" customHeight="true" outlineLevel="0" collapsed="false">
      <c r="A83" s="10" t="s">
        <v>137</v>
      </c>
      <c r="F83" s="36" t="n">
        <f aca="false">F80*B82</f>
        <v>16.0512</v>
      </c>
      <c r="G83" s="37" t="s">
        <v>138</v>
      </c>
      <c r="H83" s="36" t="n">
        <f aca="false">H80*B82</f>
        <v>6.58944</v>
      </c>
    </row>
    <row r="84" customFormat="false" ht="15" hidden="false" customHeight="true" outlineLevel="0" collapsed="false">
      <c r="A84" s="12" t="s">
        <v>139</v>
      </c>
      <c r="F84" s="33" t="n">
        <f aca="false">F81*B82</f>
        <v>3.168</v>
      </c>
    </row>
    <row r="85" customFormat="false" ht="15" hidden="false" customHeight="true" outlineLevel="0" collapsed="false">
      <c r="A85" s="10" t="s">
        <v>140</v>
      </c>
      <c r="F85" s="35" t="n">
        <f aca="false">F83-H83-F84</f>
        <v>6.29376</v>
      </c>
      <c r="G85" s="38" t="s">
        <v>141</v>
      </c>
      <c r="H85" s="39" t="n">
        <f aca="false">(F83-H83-F84)/F83</f>
        <v>0.392105263157895</v>
      </c>
    </row>
    <row r="87" customFormat="false" ht="15" hidden="false" customHeight="true" outlineLevel="0" collapsed="false">
      <c r="A87" s="28" t="s">
        <v>148</v>
      </c>
      <c r="B87" s="6"/>
      <c r="C87" s="6"/>
      <c r="D87" s="6"/>
      <c r="E87" s="6"/>
      <c r="F87" s="6"/>
      <c r="G87" s="6"/>
      <c r="H87" s="6"/>
    </row>
    <row r="88" customFormat="false" ht="21.75" hidden="false" customHeight="true" outlineLevel="0" collapsed="false">
      <c r="A88" s="29" t="s">
        <v>113</v>
      </c>
      <c r="B88" s="29" t="s">
        <v>128</v>
      </c>
      <c r="C88" s="29" t="s">
        <v>129</v>
      </c>
      <c r="D88" s="29" t="s">
        <v>130</v>
      </c>
      <c r="E88" s="29" t="s">
        <v>116</v>
      </c>
      <c r="F88" s="29" t="s">
        <v>131</v>
      </c>
      <c r="G88" s="29" t="s">
        <v>132</v>
      </c>
      <c r="H88" s="29" t="s">
        <v>133</v>
      </c>
    </row>
    <row r="89" customFormat="false" ht="15" hidden="false" customHeight="true" outlineLevel="0" collapsed="false">
      <c r="A89" s="30" t="s">
        <v>123</v>
      </c>
      <c r="B89" s="31" t="n">
        <f aca="false">D89/Assumptions!$D$76</f>
        <v>4411.45833333333</v>
      </c>
      <c r="C89" s="32" t="n">
        <f aca="false">Assumptions!$D$76</f>
        <v>120</v>
      </c>
      <c r="D89" s="31" t="n">
        <f aca="false">Assumptions!$C$36*1000000*Assumptions!$D$36*(1-Assumptions!$L$36)*Assumptions!$C$76</f>
        <v>529375</v>
      </c>
      <c r="E89" s="32" t="n">
        <f aca="false">Assumptions!$E$76</f>
        <v>62000</v>
      </c>
      <c r="F89" s="33" t="n">
        <f aca="false">D89*E89/1000000000</f>
        <v>32.82125</v>
      </c>
      <c r="G89" s="32" t="n">
        <f aca="false">Assumptions!$F$76</f>
        <v>23000</v>
      </c>
      <c r="H89" s="33" t="n">
        <f aca="false">D89*G89/1000000000</f>
        <v>12.175625</v>
      </c>
    </row>
    <row r="90" customFormat="false" ht="15" hidden="false" customHeight="true" outlineLevel="0" collapsed="false">
      <c r="A90" s="30" t="s">
        <v>124</v>
      </c>
      <c r="B90" s="31" t="n">
        <f aca="false">D90/Assumptions!$D$77</f>
        <v>1266.44736842105</v>
      </c>
      <c r="C90" s="32" t="n">
        <f aca="false">Assumptions!$D$77</f>
        <v>190</v>
      </c>
      <c r="D90" s="31" t="n">
        <f aca="false">Assumptions!$C$36*1000000*Assumptions!$D$36*(1-Assumptions!$L$36)*Assumptions!$C$77</f>
        <v>240625</v>
      </c>
      <c r="E90" s="32" t="n">
        <f aca="false">Assumptions!$E$77</f>
        <v>72000</v>
      </c>
      <c r="F90" s="33" t="n">
        <f aca="false">D90*E90/1000000000</f>
        <v>17.325</v>
      </c>
      <c r="G90" s="32" t="n">
        <f aca="false">Assumptions!$F$77</f>
        <v>27000</v>
      </c>
      <c r="H90" s="33" t="n">
        <f aca="false">D90*G90/1000000000</f>
        <v>6.496875</v>
      </c>
    </row>
    <row r="91" customFormat="false" ht="15" hidden="false" customHeight="true" outlineLevel="0" collapsed="false">
      <c r="A91" s="30" t="s">
        <v>120</v>
      </c>
      <c r="B91" s="31" t="n">
        <f aca="false">D91/Assumptions!$D$78</f>
        <v>601.5625</v>
      </c>
      <c r="C91" s="32" t="n">
        <f aca="false">Assumptions!$D$78</f>
        <v>320</v>
      </c>
      <c r="D91" s="31" t="n">
        <f aca="false">Assumptions!$C$36*1000000*Assumptions!$D$36*(1-Assumptions!$L$36)*Assumptions!$C$78</f>
        <v>192500</v>
      </c>
      <c r="E91" s="32" t="n">
        <f aca="false">Assumptions!$E$78</f>
        <v>95000</v>
      </c>
      <c r="F91" s="33" t="n">
        <f aca="false">D91*E91/1000000000</f>
        <v>18.2875</v>
      </c>
      <c r="G91" s="32" t="n">
        <f aca="false">Assumptions!$F$78</f>
        <v>35000</v>
      </c>
      <c r="H91" s="33" t="n">
        <f aca="false">D91*G91/1000000000</f>
        <v>6.7375</v>
      </c>
    </row>
    <row r="92" customFormat="false" ht="15" hidden="false" customHeight="true" outlineLevel="0" collapsed="false">
      <c r="A92" s="10" t="s">
        <v>134</v>
      </c>
      <c r="B92" s="34" t="n">
        <f aca="false">SUM(B89:B91)</f>
        <v>6279.46820175439</v>
      </c>
      <c r="D92" s="34" t="n">
        <f aca="false">SUM(D89:D91)</f>
        <v>962500</v>
      </c>
      <c r="F92" s="35" t="n">
        <f aca="false">SUM(F89:F91)</f>
        <v>68.43375</v>
      </c>
      <c r="H92" s="35" t="n">
        <f aca="false">SUM(H89:H91)</f>
        <v>25.41</v>
      </c>
    </row>
    <row r="93" customFormat="false" ht="15" hidden="false" customHeight="true" outlineLevel="0" collapsed="false">
      <c r="A93" s="12" t="s">
        <v>135</v>
      </c>
      <c r="D93" s="31" t="n">
        <f aca="false">Assumptions!$C$36*1000000*(1-Assumptions!$L$36)</f>
        <v>2750000</v>
      </c>
      <c r="E93" s="32" t="n">
        <f aca="false">Assumptions!$E$36</f>
        <v>4000</v>
      </c>
      <c r="F93" s="33" t="n">
        <f aca="false">D93*E93/1000000000</f>
        <v>11</v>
      </c>
    </row>
    <row r="94" customFormat="false" ht="15" hidden="false" customHeight="true" outlineLevel="0" collapsed="false">
      <c r="A94" s="12" t="s">
        <v>136</v>
      </c>
      <c r="B94" s="16" t="n">
        <f aca="false">Assumptions!$G$36</f>
        <v>1</v>
      </c>
    </row>
    <row r="95" customFormat="false" ht="15" hidden="false" customHeight="true" outlineLevel="0" collapsed="false">
      <c r="A95" s="10" t="s">
        <v>137</v>
      </c>
      <c r="F95" s="36" t="n">
        <f aca="false">F92*B94</f>
        <v>68.43375</v>
      </c>
      <c r="G95" s="37" t="s">
        <v>138</v>
      </c>
      <c r="H95" s="36" t="n">
        <f aca="false">H92*B94</f>
        <v>25.41</v>
      </c>
    </row>
    <row r="96" customFormat="false" ht="15" hidden="false" customHeight="true" outlineLevel="0" collapsed="false">
      <c r="A96" s="12" t="s">
        <v>139</v>
      </c>
      <c r="F96" s="33" t="n">
        <f aca="false">F93*B94</f>
        <v>11</v>
      </c>
    </row>
    <row r="97" customFormat="false" ht="15" hidden="false" customHeight="true" outlineLevel="0" collapsed="false">
      <c r="A97" s="10" t="s">
        <v>140</v>
      </c>
      <c r="F97" s="35" t="n">
        <f aca="false">F95-H95-F96</f>
        <v>32.02375</v>
      </c>
      <c r="G97" s="38" t="s">
        <v>141</v>
      </c>
      <c r="H97" s="39" t="n">
        <f aca="false">(F95-H95-F96)/F95</f>
        <v>0.467952581876633</v>
      </c>
    </row>
    <row r="99" customFormat="false" ht="15" hidden="false" customHeight="true" outlineLevel="0" collapsed="false">
      <c r="A99" s="28" t="s">
        <v>149</v>
      </c>
      <c r="B99" s="6"/>
      <c r="C99" s="6"/>
      <c r="D99" s="6"/>
      <c r="E99" s="6"/>
      <c r="F99" s="6"/>
      <c r="G99" s="6"/>
      <c r="H99" s="6"/>
    </row>
    <row r="100" customFormat="false" ht="21.75" hidden="false" customHeight="true" outlineLevel="0" collapsed="false">
      <c r="A100" s="29" t="s">
        <v>113</v>
      </c>
      <c r="B100" s="29" t="s">
        <v>128</v>
      </c>
      <c r="C100" s="29" t="s">
        <v>129</v>
      </c>
      <c r="D100" s="29" t="s">
        <v>130</v>
      </c>
      <c r="E100" s="29" t="s">
        <v>116</v>
      </c>
      <c r="F100" s="29" t="s">
        <v>131</v>
      </c>
      <c r="G100" s="29" t="s">
        <v>132</v>
      </c>
      <c r="H100" s="29" t="s">
        <v>133</v>
      </c>
    </row>
    <row r="101" customFormat="false" ht="15" hidden="false" customHeight="true" outlineLevel="0" collapsed="false">
      <c r="A101" s="30" t="s">
        <v>118</v>
      </c>
      <c r="B101" s="31" t="n">
        <f aca="false">D101/Assumptions!$D$79</f>
        <v>567.1875</v>
      </c>
      <c r="C101" s="32" t="n">
        <f aca="false">Assumptions!$D$79</f>
        <v>120</v>
      </c>
      <c r="D101" s="31" t="n">
        <f aca="false">Assumptions!$C$37*1000000*Assumptions!$D$37*(1-Assumptions!$L$37)*Assumptions!$C$79</f>
        <v>68062.5</v>
      </c>
      <c r="E101" s="32" t="n">
        <f aca="false">Assumptions!$E$79</f>
        <v>52000</v>
      </c>
      <c r="F101" s="33" t="n">
        <f aca="false">D101*E101/1000000000</f>
        <v>3.53925</v>
      </c>
      <c r="G101" s="32" t="n">
        <f aca="false">Assumptions!$F$79</f>
        <v>21000</v>
      </c>
      <c r="H101" s="33" t="n">
        <f aca="false">D101*G101/1000000000</f>
        <v>1.4293125</v>
      </c>
    </row>
    <row r="102" customFormat="false" ht="15" hidden="false" customHeight="true" outlineLevel="0" collapsed="false">
      <c r="A102" s="30" t="s">
        <v>123</v>
      </c>
      <c r="B102" s="31" t="n">
        <f aca="false">D102/Assumptions!$D$80</f>
        <v>281.25</v>
      </c>
      <c r="C102" s="32" t="n">
        <f aca="false">Assumptions!$D$80</f>
        <v>110</v>
      </c>
      <c r="D102" s="31" t="n">
        <f aca="false">Assumptions!$C$37*1000000*Assumptions!$D$37*(1-Assumptions!$L$37)*Assumptions!$C$80</f>
        <v>30937.5</v>
      </c>
      <c r="E102" s="32" t="n">
        <f aca="false">Assumptions!$E$80</f>
        <v>55000</v>
      </c>
      <c r="F102" s="33" t="n">
        <f aca="false">D102*E102/1000000000</f>
        <v>1.7015625</v>
      </c>
      <c r="G102" s="32" t="n">
        <f aca="false">Assumptions!$F$80</f>
        <v>22000</v>
      </c>
      <c r="H102" s="33" t="n">
        <f aca="false">D102*G102/1000000000</f>
        <v>0.680625</v>
      </c>
    </row>
    <row r="103" customFormat="false" ht="15" hidden="false" customHeight="true" outlineLevel="0" collapsed="false">
      <c r="A103" s="30" t="s">
        <v>120</v>
      </c>
      <c r="B103" s="31" t="n">
        <f aca="false">D103/Assumptions!$D$81</f>
        <v>82.5</v>
      </c>
      <c r="C103" s="32" t="n">
        <f aca="false">Assumptions!$D$81</f>
        <v>300</v>
      </c>
      <c r="D103" s="31" t="n">
        <f aca="false">Assumptions!$C$37*1000000*Assumptions!$D$37*(1-Assumptions!$L$37)*Assumptions!$C$81</f>
        <v>24750</v>
      </c>
      <c r="E103" s="32" t="n">
        <f aca="false">Assumptions!$E$81</f>
        <v>80000</v>
      </c>
      <c r="F103" s="33" t="n">
        <f aca="false">D103*E103/1000000000</f>
        <v>1.98</v>
      </c>
      <c r="G103" s="32" t="n">
        <f aca="false">Assumptions!$F$81</f>
        <v>32000</v>
      </c>
      <c r="H103" s="33" t="n">
        <f aca="false">D103*G103/1000000000</f>
        <v>0.792</v>
      </c>
    </row>
    <row r="104" customFormat="false" ht="15" hidden="false" customHeight="true" outlineLevel="0" collapsed="false">
      <c r="A104" s="10" t="s">
        <v>134</v>
      </c>
      <c r="B104" s="34" t="n">
        <f aca="false">SUM(B101:B103)</f>
        <v>930.9375</v>
      </c>
      <c r="D104" s="34" t="n">
        <f aca="false">SUM(D101:D103)</f>
        <v>123750</v>
      </c>
      <c r="F104" s="35" t="n">
        <f aca="false">SUM(F101:F103)</f>
        <v>7.2208125</v>
      </c>
      <c r="H104" s="35" t="n">
        <f aca="false">SUM(H101:H103)</f>
        <v>2.9019375</v>
      </c>
    </row>
    <row r="105" customFormat="false" ht="15" hidden="false" customHeight="true" outlineLevel="0" collapsed="false">
      <c r="A105" s="12" t="s">
        <v>135</v>
      </c>
      <c r="D105" s="31" t="n">
        <f aca="false">Assumptions!$C$37*1000000*(1-Assumptions!$L$37)</f>
        <v>275000</v>
      </c>
      <c r="E105" s="32" t="n">
        <f aca="false">Assumptions!$E$37</f>
        <v>5000</v>
      </c>
      <c r="F105" s="33" t="n">
        <f aca="false">D105*E105/1000000000</f>
        <v>1.375</v>
      </c>
    </row>
    <row r="106" customFormat="false" ht="15" hidden="false" customHeight="true" outlineLevel="0" collapsed="false">
      <c r="A106" s="12" t="s">
        <v>136</v>
      </c>
      <c r="B106" s="16" t="n">
        <f aca="false">Assumptions!$G$37</f>
        <v>1</v>
      </c>
    </row>
    <row r="107" customFormat="false" ht="15" hidden="false" customHeight="true" outlineLevel="0" collapsed="false">
      <c r="A107" s="10" t="s">
        <v>137</v>
      </c>
      <c r="F107" s="36" t="n">
        <f aca="false">F104*B106</f>
        <v>7.2208125</v>
      </c>
      <c r="G107" s="37" t="s">
        <v>138</v>
      </c>
      <c r="H107" s="36" t="n">
        <f aca="false">H104*B106</f>
        <v>2.9019375</v>
      </c>
    </row>
    <row r="108" customFormat="false" ht="15" hidden="false" customHeight="true" outlineLevel="0" collapsed="false">
      <c r="A108" s="12" t="s">
        <v>139</v>
      </c>
      <c r="F108" s="33" t="n">
        <f aca="false">F105*B106</f>
        <v>1.375</v>
      </c>
    </row>
    <row r="109" customFormat="false" ht="15" hidden="false" customHeight="true" outlineLevel="0" collapsed="false">
      <c r="A109" s="10" t="s">
        <v>140</v>
      </c>
      <c r="F109" s="35" t="n">
        <f aca="false">F107-H107-F108</f>
        <v>2.943875</v>
      </c>
      <c r="G109" s="38" t="s">
        <v>141</v>
      </c>
      <c r="H109" s="39" t="n">
        <f aca="false">(F107-H107-F108)/F107</f>
        <v>0.407693040083786</v>
      </c>
    </row>
    <row r="111" customFormat="false" ht="15" hidden="false" customHeight="true" outlineLevel="0" collapsed="false">
      <c r="A111" s="28" t="s">
        <v>150</v>
      </c>
      <c r="B111" s="6"/>
      <c r="C111" s="6"/>
      <c r="D111" s="6"/>
      <c r="E111" s="6"/>
      <c r="F111" s="6"/>
      <c r="G111" s="6"/>
      <c r="H111" s="6"/>
    </row>
    <row r="112" customFormat="false" ht="21.75" hidden="false" customHeight="true" outlineLevel="0" collapsed="false">
      <c r="A112" s="29" t="s">
        <v>113</v>
      </c>
      <c r="B112" s="29" t="s">
        <v>128</v>
      </c>
      <c r="C112" s="29" t="s">
        <v>129</v>
      </c>
      <c r="D112" s="29" t="s">
        <v>130</v>
      </c>
      <c r="E112" s="29" t="s">
        <v>116</v>
      </c>
      <c r="F112" s="29" t="s">
        <v>131</v>
      </c>
      <c r="G112" s="29" t="s">
        <v>132</v>
      </c>
      <c r="H112" s="29" t="s">
        <v>133</v>
      </c>
    </row>
    <row r="113" customFormat="false" ht="15" hidden="false" customHeight="true" outlineLevel="0" collapsed="false">
      <c r="A113" s="30" t="s">
        <v>123</v>
      </c>
      <c r="B113" s="31" t="n">
        <f aca="false">D113/Assumptions!$D$82</f>
        <v>1309.09090909091</v>
      </c>
      <c r="C113" s="32" t="n">
        <f aca="false">Assumptions!$D$82</f>
        <v>110</v>
      </c>
      <c r="D113" s="31" t="n">
        <f aca="false">Assumptions!$C$38*1000000*Assumptions!$D$38*(1-Assumptions!$L$38)*Assumptions!$C$82</f>
        <v>144000</v>
      </c>
      <c r="E113" s="32" t="n">
        <f aca="false">Assumptions!$E$82</f>
        <v>45000</v>
      </c>
      <c r="F113" s="33" t="n">
        <f aca="false">D113*E113/1000000000</f>
        <v>6.48</v>
      </c>
      <c r="G113" s="32" t="n">
        <f aca="false">Assumptions!$F$82</f>
        <v>21000</v>
      </c>
      <c r="H113" s="33" t="n">
        <f aca="false">D113*G113/1000000000</f>
        <v>3.024</v>
      </c>
    </row>
    <row r="114" customFormat="false" ht="15" hidden="false" customHeight="true" outlineLevel="0" collapsed="false">
      <c r="A114" s="30" t="s">
        <v>124</v>
      </c>
      <c r="B114" s="31" t="n">
        <f aca="false">D114/Assumptions!$D$83</f>
        <v>333.333333333333</v>
      </c>
      <c r="C114" s="32" t="n">
        <f aca="false">Assumptions!$D$83</f>
        <v>180</v>
      </c>
      <c r="D114" s="31" t="n">
        <f aca="false">Assumptions!$C$38*1000000*Assumptions!$D$38*(1-Assumptions!$L$38)*Assumptions!$C$83</f>
        <v>60000</v>
      </c>
      <c r="E114" s="32" t="n">
        <f aca="false">Assumptions!$E$83</f>
        <v>52000</v>
      </c>
      <c r="F114" s="33" t="n">
        <f aca="false">D114*E114/1000000000</f>
        <v>3.12</v>
      </c>
      <c r="G114" s="32" t="n">
        <f aca="false">Assumptions!$F$83</f>
        <v>24000</v>
      </c>
      <c r="H114" s="33" t="n">
        <f aca="false">D114*G114/1000000000</f>
        <v>1.44</v>
      </c>
    </row>
    <row r="115" customFormat="false" ht="15" hidden="false" customHeight="true" outlineLevel="0" collapsed="false">
      <c r="A115" s="30" t="s">
        <v>120</v>
      </c>
      <c r="B115" s="31" t="n">
        <f aca="false">D115/Assumptions!$D$84</f>
        <v>120</v>
      </c>
      <c r="C115" s="32" t="n">
        <f aca="false">Assumptions!$D$84</f>
        <v>300</v>
      </c>
      <c r="D115" s="31" t="n">
        <f aca="false">Assumptions!$C$38*1000000*Assumptions!$D$38*(1-Assumptions!$L$38)*Assumptions!$C$84</f>
        <v>36000</v>
      </c>
      <c r="E115" s="32" t="n">
        <f aca="false">Assumptions!$E$84</f>
        <v>68000</v>
      </c>
      <c r="F115" s="33" t="n">
        <f aca="false">D115*E115/1000000000</f>
        <v>2.448</v>
      </c>
      <c r="G115" s="32" t="n">
        <f aca="false">Assumptions!$F$84</f>
        <v>31000</v>
      </c>
      <c r="H115" s="33" t="n">
        <f aca="false">D115*G115/1000000000</f>
        <v>1.116</v>
      </c>
    </row>
    <row r="116" customFormat="false" ht="15" hidden="false" customHeight="true" outlineLevel="0" collapsed="false">
      <c r="A116" s="10" t="s">
        <v>134</v>
      </c>
      <c r="B116" s="34" t="n">
        <f aca="false">SUM(B113:B115)</f>
        <v>1762.42424242424</v>
      </c>
      <c r="D116" s="34" t="n">
        <f aca="false">SUM(D113:D115)</f>
        <v>240000</v>
      </c>
      <c r="F116" s="35" t="n">
        <f aca="false">SUM(F113:F115)</f>
        <v>12.048</v>
      </c>
      <c r="H116" s="35" t="n">
        <f aca="false">SUM(H113:H115)</f>
        <v>5.58</v>
      </c>
    </row>
    <row r="117" customFormat="false" ht="15" hidden="false" customHeight="true" outlineLevel="0" collapsed="false">
      <c r="A117" s="12" t="s">
        <v>135</v>
      </c>
      <c r="D117" s="31" t="n">
        <f aca="false">Assumptions!$C$38*1000000*(1-Assumptions!$L$38)</f>
        <v>600000</v>
      </c>
      <c r="E117" s="32" t="n">
        <f aca="false">Assumptions!$E$38</f>
        <v>2500</v>
      </c>
      <c r="F117" s="33" t="n">
        <f aca="false">D117*E117/1000000000</f>
        <v>1.5</v>
      </c>
    </row>
    <row r="118" customFormat="false" ht="15" hidden="false" customHeight="true" outlineLevel="0" collapsed="false">
      <c r="A118" s="12" t="s">
        <v>136</v>
      </c>
      <c r="B118" s="16" t="n">
        <f aca="false">Assumptions!$G$38</f>
        <v>1</v>
      </c>
    </row>
    <row r="119" customFormat="false" ht="15" hidden="false" customHeight="true" outlineLevel="0" collapsed="false">
      <c r="A119" s="10" t="s">
        <v>137</v>
      </c>
      <c r="F119" s="36" t="n">
        <f aca="false">F116*B118</f>
        <v>12.048</v>
      </c>
      <c r="G119" s="37" t="s">
        <v>138</v>
      </c>
      <c r="H119" s="36" t="n">
        <f aca="false">H116*B118</f>
        <v>5.58</v>
      </c>
    </row>
    <row r="120" customFormat="false" ht="15" hidden="false" customHeight="true" outlineLevel="0" collapsed="false">
      <c r="A120" s="12" t="s">
        <v>139</v>
      </c>
      <c r="F120" s="33" t="n">
        <f aca="false">F117*B118</f>
        <v>1.5</v>
      </c>
    </row>
    <row r="121" customFormat="false" ht="15" hidden="false" customHeight="true" outlineLevel="0" collapsed="false">
      <c r="A121" s="10" t="s">
        <v>140</v>
      </c>
      <c r="F121" s="35" t="n">
        <f aca="false">F119-H119-F120</f>
        <v>4.968</v>
      </c>
      <c r="G121" s="38" t="s">
        <v>141</v>
      </c>
      <c r="H121" s="39" t="n">
        <f aca="false">(F119-H119-F120)/F119</f>
        <v>0.412350597609562</v>
      </c>
    </row>
    <row r="123" customFormat="false" ht="15" hidden="false" customHeight="true" outlineLevel="0" collapsed="false">
      <c r="A123" s="28" t="s">
        <v>151</v>
      </c>
      <c r="B123" s="6"/>
      <c r="C123" s="6"/>
      <c r="D123" s="6"/>
      <c r="E123" s="6"/>
      <c r="F123" s="6"/>
      <c r="G123" s="6"/>
      <c r="H123" s="6"/>
    </row>
    <row r="124" customFormat="false" ht="21.75" hidden="false" customHeight="true" outlineLevel="0" collapsed="false">
      <c r="A124" s="29" t="s">
        <v>113</v>
      </c>
      <c r="B124" s="29" t="s">
        <v>128</v>
      </c>
      <c r="C124" s="29" t="s">
        <v>129</v>
      </c>
      <c r="D124" s="29" t="s">
        <v>130</v>
      </c>
      <c r="E124" s="29" t="s">
        <v>116</v>
      </c>
      <c r="F124" s="29" t="s">
        <v>131</v>
      </c>
      <c r="G124" s="29" t="s">
        <v>132</v>
      </c>
      <c r="H124" s="29" t="s">
        <v>133</v>
      </c>
    </row>
    <row r="125" customFormat="false" ht="15" hidden="false" customHeight="true" outlineLevel="0" collapsed="false">
      <c r="A125" s="30" t="s">
        <v>118</v>
      </c>
      <c r="B125" s="31" t="n">
        <f aca="false">D125/Assumptions!$D$85</f>
        <v>1012.5</v>
      </c>
      <c r="C125" s="32" t="n">
        <f aca="false">Assumptions!$D$85</f>
        <v>140</v>
      </c>
      <c r="D125" s="31" t="n">
        <f aca="false">Assumptions!$C$39*1000000*Assumptions!$D$39*(1-Assumptions!$L$39)*Assumptions!$C$85</f>
        <v>141750</v>
      </c>
      <c r="E125" s="32" t="n">
        <f aca="false">Assumptions!$E$85</f>
        <v>50000</v>
      </c>
      <c r="F125" s="33" t="n">
        <f aca="false">D125*E125/1000000000</f>
        <v>7.0875</v>
      </c>
      <c r="G125" s="32" t="n">
        <f aca="false">Assumptions!$F$85</f>
        <v>20000</v>
      </c>
      <c r="H125" s="33" t="n">
        <f aca="false">D125*G125/1000000000</f>
        <v>2.835</v>
      </c>
    </row>
    <row r="126" customFormat="false" ht="15" hidden="false" customHeight="true" outlineLevel="0" collapsed="false">
      <c r="A126" s="30" t="s">
        <v>119</v>
      </c>
      <c r="B126" s="31" t="n">
        <f aca="false">D126/Assumptions!$D$86</f>
        <v>450</v>
      </c>
      <c r="C126" s="32" t="n">
        <f aca="false">Assumptions!$D$86</f>
        <v>210</v>
      </c>
      <c r="D126" s="31" t="n">
        <f aca="false">Assumptions!$C$39*1000000*Assumptions!$D$39*(1-Assumptions!$L$39)*Assumptions!$C$86</f>
        <v>94500</v>
      </c>
      <c r="E126" s="32" t="n">
        <f aca="false">Assumptions!$E$86</f>
        <v>60000</v>
      </c>
      <c r="F126" s="33" t="n">
        <f aca="false">D126*E126/1000000000</f>
        <v>5.67</v>
      </c>
      <c r="G126" s="32" t="n">
        <f aca="false">Assumptions!$F$86</f>
        <v>24000</v>
      </c>
      <c r="H126" s="33" t="n">
        <f aca="false">D126*G126/1000000000</f>
        <v>2.268</v>
      </c>
    </row>
    <row r="127" customFormat="false" ht="15" hidden="false" customHeight="true" outlineLevel="0" collapsed="false">
      <c r="A127" s="30" t="s">
        <v>120</v>
      </c>
      <c r="B127" s="31" t="n">
        <f aca="false">D127/Assumptions!$D$87</f>
        <v>238.636363636364</v>
      </c>
      <c r="C127" s="32" t="n">
        <f aca="false">Assumptions!$D$87</f>
        <v>330</v>
      </c>
      <c r="D127" s="31" t="n">
        <f aca="false">Assumptions!$C$39*1000000*Assumptions!$D$39*(1-Assumptions!$L$39)*Assumptions!$C$87</f>
        <v>78750</v>
      </c>
      <c r="E127" s="32" t="n">
        <f aca="false">Assumptions!$E$87</f>
        <v>78000</v>
      </c>
      <c r="F127" s="33" t="n">
        <f aca="false">D127*E127/1000000000</f>
        <v>6.1425</v>
      </c>
      <c r="G127" s="32" t="n">
        <f aca="false">Assumptions!$F$87</f>
        <v>31000</v>
      </c>
      <c r="H127" s="33" t="n">
        <f aca="false">D127*G127/1000000000</f>
        <v>2.44125</v>
      </c>
    </row>
    <row r="128" customFormat="false" ht="15" hidden="false" customHeight="true" outlineLevel="0" collapsed="false">
      <c r="A128" s="10" t="s">
        <v>134</v>
      </c>
      <c r="B128" s="34" t="n">
        <f aca="false">SUM(B125:B127)</f>
        <v>1701.13636363636</v>
      </c>
      <c r="D128" s="34" t="n">
        <f aca="false">SUM(D125:D127)</f>
        <v>315000</v>
      </c>
      <c r="F128" s="35" t="n">
        <f aca="false">SUM(F125:F127)</f>
        <v>18.9</v>
      </c>
      <c r="H128" s="35" t="n">
        <f aca="false">SUM(H125:H127)</f>
        <v>7.54425</v>
      </c>
    </row>
    <row r="129" customFormat="false" ht="15" hidden="false" customHeight="true" outlineLevel="0" collapsed="false">
      <c r="A129" s="12" t="s">
        <v>135</v>
      </c>
      <c r="D129" s="31" t="n">
        <f aca="false">Assumptions!$C$39*1000000*(1-Assumptions!$L$39)</f>
        <v>900000</v>
      </c>
      <c r="E129" s="32" t="n">
        <f aca="false">Assumptions!$E$39</f>
        <v>2500</v>
      </c>
      <c r="F129" s="33" t="n">
        <f aca="false">D129*E129/1000000000</f>
        <v>2.25</v>
      </c>
    </row>
    <row r="130" customFormat="false" ht="15" hidden="false" customHeight="true" outlineLevel="0" collapsed="false">
      <c r="A130" s="12" t="s">
        <v>136</v>
      </c>
      <c r="B130" s="16" t="n">
        <f aca="false">Assumptions!$G$39</f>
        <v>1</v>
      </c>
    </row>
    <row r="131" customFormat="false" ht="15" hidden="false" customHeight="true" outlineLevel="0" collapsed="false">
      <c r="A131" s="10" t="s">
        <v>137</v>
      </c>
      <c r="F131" s="36" t="n">
        <f aca="false">F128*B130</f>
        <v>18.9</v>
      </c>
      <c r="G131" s="37" t="s">
        <v>138</v>
      </c>
      <c r="H131" s="36" t="n">
        <f aca="false">H128*B130</f>
        <v>7.54425</v>
      </c>
    </row>
    <row r="132" customFormat="false" ht="15" hidden="false" customHeight="true" outlineLevel="0" collapsed="false">
      <c r="A132" s="12" t="s">
        <v>139</v>
      </c>
      <c r="F132" s="33" t="n">
        <f aca="false">F129*B130</f>
        <v>2.25</v>
      </c>
    </row>
    <row r="133" customFormat="false" ht="15" hidden="false" customHeight="true" outlineLevel="0" collapsed="false">
      <c r="A133" s="10" t="s">
        <v>140</v>
      </c>
      <c r="F133" s="35" t="n">
        <f aca="false">F131-H131-F132</f>
        <v>9.10575</v>
      </c>
      <c r="G133" s="38" t="s">
        <v>141</v>
      </c>
      <c r="H133" s="39" t="n">
        <f aca="false">(F131-H131-F132)/F131</f>
        <v>0.481785714285714</v>
      </c>
    </row>
    <row r="135" customFormat="false" ht="15" hidden="false" customHeight="true" outlineLevel="0" collapsed="false">
      <c r="A135" s="28" t="s">
        <v>152</v>
      </c>
      <c r="B135" s="6"/>
      <c r="C135" s="6"/>
      <c r="D135" s="6"/>
      <c r="E135" s="6"/>
      <c r="F135" s="6"/>
      <c r="G135" s="6"/>
      <c r="H135" s="6"/>
    </row>
    <row r="136" customFormat="false" ht="21.75" hidden="false" customHeight="true" outlineLevel="0" collapsed="false">
      <c r="A136" s="29" t="s">
        <v>113</v>
      </c>
      <c r="B136" s="29" t="s">
        <v>128</v>
      </c>
      <c r="C136" s="29" t="s">
        <v>129</v>
      </c>
      <c r="D136" s="29" t="s">
        <v>130</v>
      </c>
      <c r="E136" s="29" t="s">
        <v>116</v>
      </c>
      <c r="F136" s="29" t="s">
        <v>131</v>
      </c>
      <c r="G136" s="29" t="s">
        <v>132</v>
      </c>
      <c r="H136" s="29" t="s">
        <v>133</v>
      </c>
    </row>
    <row r="137" customFormat="false" ht="15" hidden="false" customHeight="true" outlineLevel="0" collapsed="false">
      <c r="A137" s="30" t="s">
        <v>118</v>
      </c>
      <c r="B137" s="31" t="n">
        <f aca="false">D137/Assumptions!$D$88</f>
        <v>15402.3913043478</v>
      </c>
      <c r="C137" s="32" t="n">
        <f aca="false">Assumptions!$D$88</f>
        <v>115</v>
      </c>
      <c r="D137" s="31" t="n">
        <f aca="false">Assumptions!$C$40*1000000*Assumptions!$D$40*(1-Assumptions!$L$40)*Assumptions!$C$88</f>
        <v>1771275</v>
      </c>
      <c r="E137" s="32" t="n">
        <f aca="false">Assumptions!$E$88</f>
        <v>95000</v>
      </c>
      <c r="F137" s="33" t="n">
        <f aca="false">D137*E137/1000000000</f>
        <v>168.271125</v>
      </c>
      <c r="G137" s="32" t="n">
        <f aca="false">Assumptions!$F$88</f>
        <v>28000</v>
      </c>
      <c r="H137" s="33" t="n">
        <f aca="false">D137*G137/1000000000</f>
        <v>49.5957</v>
      </c>
    </row>
    <row r="138" customFormat="false" ht="15" hidden="false" customHeight="true" outlineLevel="0" collapsed="false">
      <c r="A138" s="30" t="s">
        <v>119</v>
      </c>
      <c r="B138" s="31" t="n">
        <f aca="false">D138/Assumptions!$D$89</f>
        <v>4746</v>
      </c>
      <c r="C138" s="32" t="n">
        <f aca="false">Assumptions!$D$89</f>
        <v>190</v>
      </c>
      <c r="D138" s="31" t="n">
        <f aca="false">Assumptions!$C$40*1000000*Assumptions!$D$40*(1-Assumptions!$L$40)*Assumptions!$C$89</f>
        <v>901740</v>
      </c>
      <c r="E138" s="32" t="n">
        <f aca="false">Assumptions!$E$89</f>
        <v>115000</v>
      </c>
      <c r="F138" s="33" t="n">
        <f aca="false">D138*E138/1000000000</f>
        <v>103.7001</v>
      </c>
      <c r="G138" s="32" t="n">
        <f aca="false">Assumptions!$F$89</f>
        <v>34000</v>
      </c>
      <c r="H138" s="33" t="n">
        <f aca="false">D138*G138/1000000000</f>
        <v>30.65916</v>
      </c>
    </row>
    <row r="139" customFormat="false" ht="15" hidden="false" customHeight="true" outlineLevel="0" collapsed="false">
      <c r="A139" s="30" t="s">
        <v>120</v>
      </c>
      <c r="B139" s="31" t="n">
        <f aca="false">D139/Assumptions!$D$90</f>
        <v>1659.04545454545</v>
      </c>
      <c r="C139" s="32" t="n">
        <f aca="false">Assumptions!$D$90</f>
        <v>330</v>
      </c>
      <c r="D139" s="31" t="n">
        <f aca="false">Assumptions!$C$40*1000000*Assumptions!$D$40*(1-Assumptions!$L$40)*Assumptions!$C$90</f>
        <v>547485</v>
      </c>
      <c r="E139" s="32" t="n">
        <f aca="false">Assumptions!$E$90</f>
        <v>150000</v>
      </c>
      <c r="F139" s="33" t="n">
        <f aca="false">D139*E139/1000000000</f>
        <v>82.12275</v>
      </c>
      <c r="G139" s="32" t="n">
        <f aca="false">Assumptions!$F$90</f>
        <v>45000</v>
      </c>
      <c r="H139" s="33" t="n">
        <f aca="false">D139*G139/1000000000</f>
        <v>24.636825</v>
      </c>
    </row>
    <row r="140" customFormat="false" ht="15" hidden="false" customHeight="true" outlineLevel="0" collapsed="false">
      <c r="A140" s="10" t="s">
        <v>134</v>
      </c>
      <c r="B140" s="34" t="n">
        <f aca="false">SUM(B137:B139)</f>
        <v>21807.4367588933</v>
      </c>
      <c r="D140" s="34" t="n">
        <f aca="false">SUM(D137:D139)</f>
        <v>3220500</v>
      </c>
      <c r="F140" s="35" t="n">
        <f aca="false">SUM(F137:F139)</f>
        <v>354.093975</v>
      </c>
      <c r="H140" s="35" t="n">
        <f aca="false">SUM(H137:H139)</f>
        <v>104.891685</v>
      </c>
    </row>
    <row r="141" customFormat="false" ht="15" hidden="false" customHeight="true" outlineLevel="0" collapsed="false">
      <c r="A141" s="12" t="s">
        <v>135</v>
      </c>
      <c r="D141" s="31" t="n">
        <f aca="false">Assumptions!$C$40*1000000*(1-Assumptions!$L$40)</f>
        <v>5367500</v>
      </c>
      <c r="E141" s="32" t="n">
        <f aca="false">Assumptions!$E$40</f>
        <v>18000</v>
      </c>
      <c r="F141" s="33" t="n">
        <f aca="false">D141*E141/1000000000</f>
        <v>96.615</v>
      </c>
    </row>
    <row r="142" customFormat="false" ht="15" hidden="false" customHeight="true" outlineLevel="0" collapsed="false">
      <c r="A142" s="12" t="s">
        <v>136</v>
      </c>
      <c r="B142" s="16" t="n">
        <f aca="false">Assumptions!$G$40</f>
        <v>0.45</v>
      </c>
    </row>
    <row r="143" customFormat="false" ht="15" hidden="false" customHeight="true" outlineLevel="0" collapsed="false">
      <c r="A143" s="10" t="s">
        <v>137</v>
      </c>
      <c r="F143" s="36" t="n">
        <f aca="false">F140*B142</f>
        <v>159.34228875</v>
      </c>
      <c r="G143" s="37" t="s">
        <v>138</v>
      </c>
      <c r="H143" s="36" t="n">
        <f aca="false">H140*B142</f>
        <v>47.20125825</v>
      </c>
    </row>
    <row r="144" customFormat="false" ht="15" hidden="false" customHeight="true" outlineLevel="0" collapsed="false">
      <c r="A144" s="12" t="s">
        <v>139</v>
      </c>
      <c r="F144" s="33" t="n">
        <f aca="false">F141*B142</f>
        <v>43.47675</v>
      </c>
    </row>
    <row r="145" customFormat="false" ht="15" hidden="false" customHeight="true" outlineLevel="0" collapsed="false">
      <c r="A145" s="10" t="s">
        <v>140</v>
      </c>
      <c r="F145" s="35" t="n">
        <f aca="false">F143-H143-F144</f>
        <v>68.6642805</v>
      </c>
      <c r="G145" s="38" t="s">
        <v>141</v>
      </c>
      <c r="H145" s="39" t="n">
        <f aca="false">(F143-H143-F144)/F143</f>
        <v>0.430923146884948</v>
      </c>
    </row>
    <row r="147" customFormat="false" ht="15" hidden="false" customHeight="true" outlineLevel="0" collapsed="false">
      <c r="A147" s="28" t="s">
        <v>153</v>
      </c>
      <c r="B147" s="6"/>
      <c r="C147" s="6"/>
      <c r="D147" s="6"/>
      <c r="E147" s="6"/>
      <c r="F147" s="6"/>
      <c r="G147" s="6"/>
      <c r="H147" s="6"/>
    </row>
    <row r="148" customFormat="false" ht="21.75" hidden="false" customHeight="true" outlineLevel="0" collapsed="false">
      <c r="A148" s="29" t="s">
        <v>113</v>
      </c>
      <c r="B148" s="29" t="s">
        <v>128</v>
      </c>
      <c r="C148" s="29" t="s">
        <v>129</v>
      </c>
      <c r="D148" s="29" t="s">
        <v>130</v>
      </c>
      <c r="E148" s="29" t="s">
        <v>116</v>
      </c>
      <c r="F148" s="29" t="s">
        <v>131</v>
      </c>
      <c r="G148" s="29" t="s">
        <v>132</v>
      </c>
      <c r="H148" s="29" t="s">
        <v>133</v>
      </c>
    </row>
    <row r="149" customFormat="false" ht="15" hidden="false" customHeight="true" outlineLevel="0" collapsed="false">
      <c r="A149" s="30" t="s">
        <v>118</v>
      </c>
      <c r="B149" s="31" t="n">
        <f aca="false">D149/Assumptions!$D$91</f>
        <v>16540.5326086957</v>
      </c>
      <c r="C149" s="32" t="n">
        <f aca="false">Assumptions!$D$91</f>
        <v>115</v>
      </c>
      <c r="D149" s="31" t="n">
        <f aca="false">Assumptions!$C$41*1000000*Assumptions!$D$41*(1-Assumptions!$L$41)*Assumptions!$C$91</f>
        <v>1902161.25</v>
      </c>
      <c r="E149" s="32" t="n">
        <f aca="false">Assumptions!$E$91</f>
        <v>88000</v>
      </c>
      <c r="F149" s="33" t="n">
        <f aca="false">D149*E149/1000000000</f>
        <v>167.39019</v>
      </c>
      <c r="G149" s="32" t="n">
        <f aca="false">Assumptions!$F$91</f>
        <v>28000</v>
      </c>
      <c r="H149" s="33" t="n">
        <f aca="false">D149*G149/1000000000</f>
        <v>53.260515</v>
      </c>
    </row>
    <row r="150" customFormat="false" ht="15" hidden="false" customHeight="true" outlineLevel="0" collapsed="false">
      <c r="A150" s="30" t="s">
        <v>119</v>
      </c>
      <c r="B150" s="31" t="n">
        <f aca="false">D150/Assumptions!$D$92</f>
        <v>5096.7</v>
      </c>
      <c r="C150" s="32" t="n">
        <f aca="false">Assumptions!$D$92</f>
        <v>190</v>
      </c>
      <c r="D150" s="31" t="n">
        <f aca="false">Assumptions!$C$41*1000000*Assumptions!$D$41*(1-Assumptions!$L$41)*Assumptions!$C$92</f>
        <v>968373</v>
      </c>
      <c r="E150" s="32" t="n">
        <f aca="false">Assumptions!$E$92</f>
        <v>105000</v>
      </c>
      <c r="F150" s="33" t="n">
        <f aca="false">D150*E150/1000000000</f>
        <v>101.679165</v>
      </c>
      <c r="G150" s="32" t="n">
        <f aca="false">Assumptions!$F$92</f>
        <v>34000</v>
      </c>
      <c r="H150" s="33" t="n">
        <f aca="false">D150*G150/1000000000</f>
        <v>32.924682</v>
      </c>
    </row>
    <row r="151" customFormat="false" ht="15" hidden="false" customHeight="true" outlineLevel="0" collapsed="false">
      <c r="A151" s="30" t="s">
        <v>120</v>
      </c>
      <c r="B151" s="31" t="n">
        <f aca="false">D151/Assumptions!$D$93</f>
        <v>1781.63863636364</v>
      </c>
      <c r="C151" s="32" t="n">
        <f aca="false">Assumptions!$D$93</f>
        <v>330</v>
      </c>
      <c r="D151" s="31" t="n">
        <f aca="false">Assumptions!$C$41*1000000*Assumptions!$D$41*(1-Assumptions!$L$41)*Assumptions!$C$93</f>
        <v>587940.75</v>
      </c>
      <c r="E151" s="32" t="n">
        <f aca="false">Assumptions!$E$93</f>
        <v>135000</v>
      </c>
      <c r="F151" s="33" t="n">
        <f aca="false">D151*E151/1000000000</f>
        <v>79.37200125</v>
      </c>
      <c r="G151" s="32" t="n">
        <f aca="false">Assumptions!$F$93</f>
        <v>45000</v>
      </c>
      <c r="H151" s="33" t="n">
        <f aca="false">D151*G151/1000000000</f>
        <v>26.45733375</v>
      </c>
    </row>
    <row r="152" customFormat="false" ht="15" hidden="false" customHeight="true" outlineLevel="0" collapsed="false">
      <c r="A152" s="10" t="s">
        <v>134</v>
      </c>
      <c r="B152" s="34" t="n">
        <f aca="false">SUM(B149:B151)</f>
        <v>23418.8712450593</v>
      </c>
      <c r="D152" s="34" t="n">
        <f aca="false">SUM(D149:D151)</f>
        <v>3458475</v>
      </c>
      <c r="F152" s="35" t="n">
        <f aca="false">SUM(F149:F151)</f>
        <v>348.44135625</v>
      </c>
      <c r="H152" s="35" t="n">
        <f aca="false">SUM(H149:H151)</f>
        <v>112.64253075</v>
      </c>
    </row>
    <row r="153" customFormat="false" ht="15" hidden="false" customHeight="true" outlineLevel="0" collapsed="false">
      <c r="A153" s="12" t="s">
        <v>135</v>
      </c>
      <c r="D153" s="31" t="n">
        <f aca="false">Assumptions!$C$41*1000000*(1-Assumptions!$L$41)</f>
        <v>7685500</v>
      </c>
      <c r="E153" s="32" t="n">
        <f aca="false">Assumptions!$E$41</f>
        <v>16000</v>
      </c>
      <c r="F153" s="33" t="n">
        <f aca="false">D153*E153/1000000000</f>
        <v>122.968</v>
      </c>
    </row>
    <row r="154" customFormat="false" ht="15" hidden="false" customHeight="true" outlineLevel="0" collapsed="false">
      <c r="A154" s="12" t="s">
        <v>136</v>
      </c>
      <c r="B154" s="16" t="n">
        <f aca="false">Assumptions!$G$41</f>
        <v>0.3</v>
      </c>
    </row>
    <row r="155" customFormat="false" ht="15" hidden="false" customHeight="true" outlineLevel="0" collapsed="false">
      <c r="A155" s="10" t="s">
        <v>137</v>
      </c>
      <c r="F155" s="36" t="n">
        <f aca="false">F152*B154</f>
        <v>104.532406875</v>
      </c>
      <c r="G155" s="37" t="s">
        <v>138</v>
      </c>
      <c r="H155" s="36" t="n">
        <f aca="false">H152*B154</f>
        <v>33.792759225</v>
      </c>
    </row>
    <row r="156" customFormat="false" ht="15" hidden="false" customHeight="true" outlineLevel="0" collapsed="false">
      <c r="A156" s="12" t="s">
        <v>139</v>
      </c>
      <c r="F156" s="33" t="n">
        <f aca="false">F153*B154</f>
        <v>36.8904</v>
      </c>
    </row>
    <row r="157" customFormat="false" ht="15" hidden="false" customHeight="true" outlineLevel="0" collapsed="false">
      <c r="A157" s="10" t="s">
        <v>140</v>
      </c>
      <c r="F157" s="35" t="n">
        <f aca="false">F155-H155-F156</f>
        <v>33.84924765</v>
      </c>
      <c r="G157" s="38" t="s">
        <v>141</v>
      </c>
      <c r="H157" s="39" t="n">
        <f aca="false">(F155-H155-F156)/F155</f>
        <v>0.32381582575131</v>
      </c>
    </row>
    <row r="159" customFormat="false" ht="15" hidden="false" customHeight="true" outlineLevel="0" collapsed="false">
      <c r="A159" s="28" t="s">
        <v>154</v>
      </c>
      <c r="B159" s="6"/>
      <c r="C159" s="6"/>
      <c r="D159" s="6"/>
      <c r="E159" s="6"/>
      <c r="F159" s="6"/>
      <c r="G159" s="6"/>
      <c r="H159" s="6"/>
    </row>
    <row r="160" customFormat="false" ht="21.75" hidden="false" customHeight="true" outlineLevel="0" collapsed="false">
      <c r="A160" s="29" t="s">
        <v>113</v>
      </c>
      <c r="B160" s="29" t="s">
        <v>128</v>
      </c>
      <c r="C160" s="29" t="s">
        <v>129</v>
      </c>
      <c r="D160" s="29" t="s">
        <v>130</v>
      </c>
      <c r="E160" s="29" t="s">
        <v>116</v>
      </c>
      <c r="F160" s="29" t="s">
        <v>131</v>
      </c>
      <c r="G160" s="29" t="s">
        <v>132</v>
      </c>
      <c r="H160" s="29" t="s">
        <v>133</v>
      </c>
    </row>
    <row r="161" customFormat="false" ht="15" hidden="false" customHeight="true" outlineLevel="0" collapsed="false">
      <c r="A161" s="30" t="s">
        <v>118</v>
      </c>
      <c r="B161" s="31" t="n">
        <f aca="false">D161/Assumptions!$D$94</f>
        <v>3366</v>
      </c>
      <c r="C161" s="32" t="n">
        <f aca="false">Assumptions!$D$94</f>
        <v>110</v>
      </c>
      <c r="D161" s="31" t="n">
        <f aca="false">Assumptions!$C$42*1000000*Assumptions!$D$42*(1-Assumptions!$L$42)*Assumptions!$C$94</f>
        <v>370260</v>
      </c>
      <c r="E161" s="32" t="n">
        <f aca="false">Assumptions!$E$94</f>
        <v>360000</v>
      </c>
      <c r="F161" s="33" t="n">
        <f aca="false">D161*E161/1000000000</f>
        <v>133.2936</v>
      </c>
      <c r="G161" s="32" t="n">
        <f aca="false">Assumptions!$F$94</f>
        <v>95000</v>
      </c>
      <c r="H161" s="33" t="n">
        <f aca="false">D161*G161/1000000000</f>
        <v>35.1747</v>
      </c>
    </row>
    <row r="162" customFormat="false" ht="15" hidden="false" customHeight="true" outlineLevel="0" collapsed="false">
      <c r="A162" s="30" t="s">
        <v>124</v>
      </c>
      <c r="B162" s="31" t="n">
        <f aca="false">D162/Assumptions!$D$95</f>
        <v>935</v>
      </c>
      <c r="C162" s="32" t="n">
        <f aca="false">Assumptions!$D$95</f>
        <v>180</v>
      </c>
      <c r="D162" s="31" t="n">
        <f aca="false">Assumptions!$C$42*1000000*Assumptions!$D$42*(1-Assumptions!$L$42)*Assumptions!$C$95</f>
        <v>168300</v>
      </c>
      <c r="E162" s="32" t="n">
        <f aca="false">Assumptions!$E$95</f>
        <v>420000</v>
      </c>
      <c r="F162" s="33" t="n">
        <f aca="false">D162*E162/1000000000</f>
        <v>70.686</v>
      </c>
      <c r="G162" s="32" t="n">
        <f aca="false">Assumptions!$F$95</f>
        <v>110000</v>
      </c>
      <c r="H162" s="33" t="n">
        <f aca="false">D162*G162/1000000000</f>
        <v>18.513</v>
      </c>
    </row>
    <row r="163" customFormat="false" ht="15" hidden="false" customHeight="true" outlineLevel="0" collapsed="false">
      <c r="A163" s="30" t="s">
        <v>120</v>
      </c>
      <c r="B163" s="31" t="n">
        <f aca="false">D163/Assumptions!$D$96</f>
        <v>448.8</v>
      </c>
      <c r="C163" s="32" t="n">
        <f aca="false">Assumptions!$D$96</f>
        <v>300</v>
      </c>
      <c r="D163" s="31" t="n">
        <f aca="false">Assumptions!$C$42*1000000*Assumptions!$D$42*(1-Assumptions!$L$42)*Assumptions!$C$96</f>
        <v>134640</v>
      </c>
      <c r="E163" s="32" t="n">
        <f aca="false">Assumptions!$E$96</f>
        <v>560000</v>
      </c>
      <c r="F163" s="33" t="n">
        <f aca="false">D163*E163/1000000000</f>
        <v>75.3984</v>
      </c>
      <c r="G163" s="32" t="n">
        <f aca="false">Assumptions!$F$96</f>
        <v>140000</v>
      </c>
      <c r="H163" s="33" t="n">
        <f aca="false">D163*G163/1000000000</f>
        <v>18.8496</v>
      </c>
    </row>
    <row r="164" customFormat="false" ht="15" hidden="false" customHeight="true" outlineLevel="0" collapsed="false">
      <c r="A164" s="10" t="s">
        <v>134</v>
      </c>
      <c r="B164" s="34" t="n">
        <f aca="false">SUM(B161:B163)</f>
        <v>4749.8</v>
      </c>
      <c r="D164" s="34" t="n">
        <f aca="false">SUM(D161:D163)</f>
        <v>673200</v>
      </c>
      <c r="F164" s="35" t="n">
        <f aca="false">SUM(F161:F163)</f>
        <v>279.378</v>
      </c>
      <c r="H164" s="35" t="n">
        <f aca="false">SUM(H161:H163)</f>
        <v>72.5373</v>
      </c>
    </row>
    <row r="165" customFormat="false" ht="15" hidden="false" customHeight="true" outlineLevel="0" collapsed="false">
      <c r="A165" s="12" t="s">
        <v>135</v>
      </c>
      <c r="D165" s="31" t="n">
        <f aca="false">Assumptions!$C$42*1000000*(1-Assumptions!$L$42)</f>
        <v>1683000</v>
      </c>
      <c r="E165" s="32" t="n">
        <f aca="false">Assumptions!$E$42</f>
        <v>45000</v>
      </c>
      <c r="F165" s="33" t="n">
        <f aca="false">D165*E165/1000000000</f>
        <v>75.735</v>
      </c>
    </row>
    <row r="166" customFormat="false" ht="15" hidden="false" customHeight="true" outlineLevel="0" collapsed="false">
      <c r="A166" s="12" t="s">
        <v>136</v>
      </c>
      <c r="B166" s="16" t="n">
        <f aca="false">Assumptions!$G$42</f>
        <v>0.45</v>
      </c>
    </row>
    <row r="167" customFormat="false" ht="15" hidden="false" customHeight="true" outlineLevel="0" collapsed="false">
      <c r="A167" s="10" t="s">
        <v>137</v>
      </c>
      <c r="F167" s="36" t="n">
        <f aca="false">F164*B166</f>
        <v>125.7201</v>
      </c>
      <c r="G167" s="37" t="s">
        <v>138</v>
      </c>
      <c r="H167" s="36" t="n">
        <f aca="false">H164*B166</f>
        <v>32.641785</v>
      </c>
    </row>
    <row r="168" customFormat="false" ht="15" hidden="false" customHeight="true" outlineLevel="0" collapsed="false">
      <c r="A168" s="12" t="s">
        <v>139</v>
      </c>
      <c r="F168" s="33" t="n">
        <f aca="false">F165*B166</f>
        <v>34.08075</v>
      </c>
    </row>
    <row r="169" customFormat="false" ht="15" hidden="false" customHeight="true" outlineLevel="0" collapsed="false">
      <c r="A169" s="10" t="s">
        <v>140</v>
      </c>
      <c r="F169" s="35" t="n">
        <f aca="false">F167-H167-F168</f>
        <v>58.997565</v>
      </c>
      <c r="G169" s="38" t="s">
        <v>141</v>
      </c>
      <c r="H169" s="39" t="n">
        <f aca="false">(F167-H167-F168)/F167</f>
        <v>0.469277108433735</v>
      </c>
    </row>
    <row r="171" customFormat="false" ht="15" hidden="false" customHeight="true" outlineLevel="0" collapsed="false">
      <c r="A171" s="28" t="s">
        <v>155</v>
      </c>
      <c r="B171" s="6"/>
      <c r="C171" s="6"/>
      <c r="D171" s="6"/>
      <c r="E171" s="6"/>
      <c r="F171" s="6"/>
      <c r="G171" s="6"/>
      <c r="H171" s="6"/>
    </row>
    <row r="172" customFormat="false" ht="21.75" hidden="false" customHeight="true" outlineLevel="0" collapsed="false">
      <c r="A172" s="29" t="s">
        <v>113</v>
      </c>
      <c r="B172" s="29" t="s">
        <v>128</v>
      </c>
      <c r="C172" s="29" t="s">
        <v>129</v>
      </c>
      <c r="D172" s="29" t="s">
        <v>130</v>
      </c>
      <c r="E172" s="29" t="s">
        <v>116</v>
      </c>
      <c r="F172" s="29" t="s">
        <v>131</v>
      </c>
      <c r="G172" s="29" t="s">
        <v>132</v>
      </c>
      <c r="H172" s="29" t="s">
        <v>133</v>
      </c>
    </row>
    <row r="173" customFormat="false" ht="15" hidden="false" customHeight="true" outlineLevel="0" collapsed="false">
      <c r="A173" s="30" t="s">
        <v>118</v>
      </c>
      <c r="B173" s="31" t="n">
        <f aca="false">D173/Assumptions!$D$97</f>
        <v>7333.33333333333</v>
      </c>
      <c r="C173" s="32" t="n">
        <f aca="false">Assumptions!$D$97</f>
        <v>135</v>
      </c>
      <c r="D173" s="31" t="n">
        <f aca="false">Assumptions!$C$43*1000000*Assumptions!$D$43*(1-Assumptions!$L$43)*Assumptions!$C$97</f>
        <v>990000</v>
      </c>
      <c r="E173" s="32" t="n">
        <f aca="false">Assumptions!$E$97</f>
        <v>52000</v>
      </c>
      <c r="F173" s="33" t="n">
        <f aca="false">D173*E173/1000000000</f>
        <v>51.48</v>
      </c>
      <c r="G173" s="32" t="n">
        <f aca="false">Assumptions!$F$97</f>
        <v>21000</v>
      </c>
      <c r="H173" s="33" t="n">
        <f aca="false">D173*G173/1000000000</f>
        <v>20.79</v>
      </c>
    </row>
    <row r="174" customFormat="false" ht="15" hidden="false" customHeight="true" outlineLevel="0" collapsed="false">
      <c r="A174" s="30" t="s">
        <v>119</v>
      </c>
      <c r="B174" s="31" t="n">
        <f aca="false">D174/Assumptions!$D$98</f>
        <v>2571.42857142857</v>
      </c>
      <c r="C174" s="32" t="n">
        <f aca="false">Assumptions!$D$98</f>
        <v>210</v>
      </c>
      <c r="D174" s="31" t="n">
        <f aca="false">Assumptions!$C$43*1000000*Assumptions!$D$43*(1-Assumptions!$L$43)*Assumptions!$C$98</f>
        <v>540000</v>
      </c>
      <c r="E174" s="32" t="n">
        <f aca="false">Assumptions!$E$98</f>
        <v>62000</v>
      </c>
      <c r="F174" s="33" t="n">
        <f aca="false">D174*E174/1000000000</f>
        <v>33.48</v>
      </c>
      <c r="G174" s="32" t="n">
        <f aca="false">Assumptions!$F$98</f>
        <v>25000</v>
      </c>
      <c r="H174" s="33" t="n">
        <f aca="false">D174*G174/1000000000</f>
        <v>13.5</v>
      </c>
    </row>
    <row r="175" customFormat="false" ht="15" hidden="false" customHeight="true" outlineLevel="0" collapsed="false">
      <c r="A175" s="30" t="s">
        <v>120</v>
      </c>
      <c r="B175" s="31" t="n">
        <f aca="false">D175/Assumptions!$D$99</f>
        <v>818.181818181818</v>
      </c>
      <c r="C175" s="32" t="n">
        <f aca="false">Assumptions!$D$99</f>
        <v>330</v>
      </c>
      <c r="D175" s="31" t="n">
        <f aca="false">Assumptions!$C$43*1000000*Assumptions!$D$43*(1-Assumptions!$L$43)*Assumptions!$C$99</f>
        <v>270000</v>
      </c>
      <c r="E175" s="32" t="n">
        <f aca="false">Assumptions!$E$99</f>
        <v>80000</v>
      </c>
      <c r="F175" s="33" t="n">
        <f aca="false">D175*E175/1000000000</f>
        <v>21.6</v>
      </c>
      <c r="G175" s="32" t="n">
        <f aca="false">Assumptions!$F$99</f>
        <v>32000</v>
      </c>
      <c r="H175" s="33" t="n">
        <f aca="false">D175*G175/1000000000</f>
        <v>8.64</v>
      </c>
    </row>
    <row r="176" customFormat="false" ht="15" hidden="false" customHeight="true" outlineLevel="0" collapsed="false">
      <c r="A176" s="10" t="s">
        <v>134</v>
      </c>
      <c r="B176" s="34" t="n">
        <f aca="false">SUM(B173:B175)</f>
        <v>10722.9437229437</v>
      </c>
      <c r="D176" s="34" t="n">
        <f aca="false">SUM(D173:D175)</f>
        <v>1800000</v>
      </c>
      <c r="F176" s="35" t="n">
        <f aca="false">SUM(F173:F175)</f>
        <v>106.56</v>
      </c>
      <c r="H176" s="35" t="n">
        <f aca="false">SUM(H173:H175)</f>
        <v>42.93</v>
      </c>
    </row>
    <row r="177" customFormat="false" ht="15" hidden="false" customHeight="true" outlineLevel="0" collapsed="false">
      <c r="A177" s="12" t="s">
        <v>135</v>
      </c>
      <c r="D177" s="31" t="n">
        <f aca="false">Assumptions!$C$43*1000000*(1-Assumptions!$L$43)</f>
        <v>6000000</v>
      </c>
      <c r="E177" s="32" t="n">
        <f aca="false">Assumptions!$E$43</f>
        <v>5000</v>
      </c>
      <c r="F177" s="33" t="n">
        <f aca="false">D177*E177/1000000000</f>
        <v>30</v>
      </c>
    </row>
    <row r="178" customFormat="false" ht="15" hidden="false" customHeight="true" outlineLevel="0" collapsed="false">
      <c r="A178" s="12" t="s">
        <v>136</v>
      </c>
      <c r="B178" s="16" t="n">
        <f aca="false">Assumptions!$G$43</f>
        <v>1</v>
      </c>
    </row>
    <row r="179" customFormat="false" ht="15" hidden="false" customHeight="true" outlineLevel="0" collapsed="false">
      <c r="A179" s="10" t="s">
        <v>137</v>
      </c>
      <c r="F179" s="36" t="n">
        <f aca="false">F176*B178</f>
        <v>106.56</v>
      </c>
      <c r="G179" s="37" t="s">
        <v>138</v>
      </c>
      <c r="H179" s="36" t="n">
        <f aca="false">H176*B178</f>
        <v>42.93</v>
      </c>
    </row>
    <row r="180" customFormat="false" ht="15" hidden="false" customHeight="true" outlineLevel="0" collapsed="false">
      <c r="A180" s="12" t="s">
        <v>139</v>
      </c>
      <c r="F180" s="33" t="n">
        <f aca="false">F177*B178</f>
        <v>30</v>
      </c>
    </row>
    <row r="181" customFormat="false" ht="15" hidden="false" customHeight="true" outlineLevel="0" collapsed="false">
      <c r="A181" s="10" t="s">
        <v>140</v>
      </c>
      <c r="F181" s="35" t="n">
        <f aca="false">F179-H179-F180</f>
        <v>33.63</v>
      </c>
      <c r="G181" s="38" t="s">
        <v>141</v>
      </c>
      <c r="H181" s="39" t="n">
        <f aca="false">(F179-H179-F180)/F179</f>
        <v>0.315596846846847</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Y15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4" width="22"/>
    <col collapsed="false" customWidth="true" hidden="false" outlineLevel="0" max="25" min="3" style="4" width="8"/>
  </cols>
  <sheetData>
    <row r="1" customFormat="false" ht="21.75" hidden="false" customHeight="true" outlineLevel="0" collapsed="false">
      <c r="A1" s="5" t="s">
        <v>156</v>
      </c>
      <c r="B1" s="6"/>
      <c r="C1" s="6"/>
      <c r="D1" s="6"/>
      <c r="E1" s="6"/>
      <c r="F1" s="6"/>
      <c r="G1" s="6"/>
      <c r="H1" s="6"/>
      <c r="I1" s="6"/>
      <c r="J1" s="6"/>
      <c r="K1" s="6"/>
      <c r="L1" s="6"/>
      <c r="M1" s="6"/>
      <c r="N1" s="6"/>
      <c r="O1" s="6"/>
      <c r="P1" s="6"/>
      <c r="Q1" s="6"/>
      <c r="R1" s="6"/>
      <c r="S1" s="6"/>
      <c r="T1" s="6"/>
      <c r="U1" s="6"/>
      <c r="V1" s="6"/>
      <c r="W1" s="6"/>
      <c r="X1" s="6"/>
      <c r="Y1" s="6"/>
    </row>
    <row r="2" customFormat="false" ht="15" hidden="false" customHeight="true" outlineLevel="0" collapsed="false">
      <c r="A2" s="7" t="s">
        <v>157</v>
      </c>
    </row>
    <row r="3" customFormat="false" ht="15" hidden="false" customHeight="true" outlineLevel="0" collapsed="false">
      <c r="A3" s="8" t="s">
        <v>158</v>
      </c>
      <c r="B3" s="9"/>
      <c r="C3" s="9"/>
      <c r="D3" s="9"/>
      <c r="E3" s="9"/>
      <c r="F3" s="9"/>
      <c r="G3" s="9"/>
      <c r="H3" s="9"/>
      <c r="I3" s="9"/>
      <c r="J3" s="9"/>
      <c r="K3" s="9"/>
      <c r="L3" s="9"/>
      <c r="M3" s="9"/>
      <c r="N3" s="9"/>
      <c r="O3" s="9"/>
      <c r="P3" s="9"/>
      <c r="Q3" s="9"/>
      <c r="R3" s="9"/>
      <c r="S3" s="9"/>
      <c r="T3" s="9"/>
      <c r="U3" s="9"/>
      <c r="V3" s="9"/>
      <c r="W3" s="9"/>
      <c r="X3" s="9"/>
      <c r="Y3" s="9"/>
    </row>
    <row r="4" customFormat="false" ht="15" hidden="false" customHeight="true" outlineLevel="0" collapsed="false">
      <c r="A4" s="40" t="s">
        <v>159</v>
      </c>
      <c r="C4" s="41" t="s">
        <v>160</v>
      </c>
      <c r="D4" s="41" t="s">
        <v>161</v>
      </c>
      <c r="E4" s="41" t="s">
        <v>162</v>
      </c>
      <c r="F4" s="41" t="s">
        <v>163</v>
      </c>
      <c r="G4" s="41" t="s">
        <v>164</v>
      </c>
      <c r="H4" s="41" t="s">
        <v>165</v>
      </c>
      <c r="I4" s="41" t="s">
        <v>166</v>
      </c>
      <c r="J4" s="41" t="s">
        <v>167</v>
      </c>
      <c r="K4" s="41" t="s">
        <v>168</v>
      </c>
      <c r="L4" s="41" t="s">
        <v>169</v>
      </c>
      <c r="M4" s="41" t="s">
        <v>170</v>
      </c>
      <c r="N4" s="41" t="s">
        <v>171</v>
      </c>
      <c r="O4" s="41" t="s">
        <v>172</v>
      </c>
      <c r="P4" s="41" t="s">
        <v>173</v>
      </c>
      <c r="Q4" s="41" t="s">
        <v>174</v>
      </c>
      <c r="R4" s="41" t="s">
        <v>175</v>
      </c>
      <c r="S4" s="41" t="s">
        <v>176</v>
      </c>
      <c r="T4" s="41" t="s">
        <v>177</v>
      </c>
      <c r="U4" s="41" t="s">
        <v>178</v>
      </c>
      <c r="V4" s="41" t="s">
        <v>179</v>
      </c>
      <c r="W4" s="41" t="s">
        <v>180</v>
      </c>
      <c r="X4" s="41" t="s">
        <v>181</v>
      </c>
      <c r="Y4" s="41" t="s">
        <v>182</v>
      </c>
    </row>
    <row r="5" customFormat="false" ht="15" hidden="false" customHeight="true" outlineLevel="0" collapsed="false">
      <c r="A5" s="10" t="s">
        <v>183</v>
      </c>
      <c r="C5" s="35" t="n">
        <f aca="false">C14+C23+C32+C41+C50+C59+C68+C77+C86+C95+C104+C113+C122+C131+C140+C149</f>
        <v>67.7022</v>
      </c>
      <c r="D5" s="35" t="n">
        <f aca="false">D14+D23+D32+D41+D50+D59+D68+D77+D86+D95+D104+D113+D122+D131+D140+D149</f>
        <v>107.8955</v>
      </c>
      <c r="E5" s="35" t="n">
        <f aca="false">E14+E23+E32+E41+E50+E59+E68+E77+E86+E95+E104+E113+E122+E131+E140+E149</f>
        <v>143.4587</v>
      </c>
      <c r="F5" s="35" t="n">
        <f aca="false">F14+F23+F32+F41+F50+F59+F68+F77+F86+F95+F104+F113+F122+F131+F140+F149</f>
        <v>163.543</v>
      </c>
      <c r="G5" s="35" t="n">
        <f aca="false">G14+G23+G32+G41+G50+G59+G68+G77+G86+G95+G104+G113+G122+G131+G140+G149</f>
        <v>178.4586</v>
      </c>
      <c r="H5" s="35" t="n">
        <f aca="false">H14+H23+H32+H41+H50+H59+H68+H77+H86+H95+H104+H113+H122+H131+H140+H149</f>
        <v>135.7014</v>
      </c>
      <c r="I5" s="35" t="n">
        <f aca="false">I14+I23+I32+I41+I50+I59+I68+I77+I86+I95+I104+I113+I122+I131+I140+I149</f>
        <v>182.5851</v>
      </c>
      <c r="J5" s="35" t="n">
        <f aca="false">J14+J23+J32+J41+J50+J59+J68+J77+J86+J95+J104+J113+J122+J131+J140+J149</f>
        <v>183.6843</v>
      </c>
      <c r="K5" s="35" t="n">
        <f aca="false">K14+K23+K32+K41+K50+K59+K68+K77+K86+K95+K104+K113+K122+K131+K140+K149</f>
        <v>201.7687</v>
      </c>
      <c r="L5" s="35" t="n">
        <f aca="false">L14+L23+L32+L41+L50+L59+L68+L77+L86+L95+L104+L113+L122+L131+L140+L149</f>
        <v>100.2464</v>
      </c>
      <c r="M5" s="35" t="n">
        <f aca="false">M14+M23+M32+M41+M50+M59+M68+M77+M86+M95+M104+M113+M122+M131+M140+M149</f>
        <v>65.8403</v>
      </c>
      <c r="N5" s="35" t="n">
        <f aca="false">N14+N23+N32+N41+N50+N59+N68+N77+N86+N95+N104+N113+N122+N131+N140+N149</f>
        <v>75.0579</v>
      </c>
      <c r="O5" s="35" t="n">
        <f aca="false">O14+O23+O32+O41+O50+O59+O68+O77+O86+O95+O104+O113+O122+O131+O140+O149</f>
        <v>0</v>
      </c>
      <c r="P5" s="35" t="n">
        <f aca="false">P14+P23+P32+P41+P50+P59+P68+P77+P86+P95+P104+P113+P122+P131+P140+P149</f>
        <v>0</v>
      </c>
      <c r="Q5" s="35" t="n">
        <f aca="false">Q14+Q23+Q32+Q41+Q50+Q59+Q68+Q77+Q86+Q95+Q104+Q113+Q122+Q131+Q140+Q149</f>
        <v>0</v>
      </c>
      <c r="R5" s="35" t="n">
        <f aca="false">R14+R23+R32+R41+R50+R59+R68+R77+R86+R95+R104+R113+R122+R131+R140+R149</f>
        <v>0</v>
      </c>
      <c r="S5" s="35" t="n">
        <f aca="false">S14+S23+S32+S41+S50+S59+S68+S77+S86+S95+S104+S113+S122+S131+S140+S149</f>
        <v>0</v>
      </c>
      <c r="T5" s="35" t="n">
        <f aca="false">T14+T23+T32+T41+T50+T59+T68+T77+T86+T95+T104+T113+T122+T131+T140+T149</f>
        <v>0</v>
      </c>
      <c r="U5" s="35" t="n">
        <f aca="false">U14+U23+U32+U41+U50+U59+U68+U77+U86+U95+U104+U113+U122+U131+U140+U149</f>
        <v>0</v>
      </c>
      <c r="V5" s="35" t="n">
        <f aca="false">V14+V23+V32+V41+V50+V59+V68+V77+V86+V95+V104+V113+V122+V131+V140+V149</f>
        <v>0</v>
      </c>
      <c r="W5" s="35" t="n">
        <f aca="false">W14+W23+W32+W41+W50+W59+W68+W77+W86+W95+W104+W113+W122+W131+W140+W149</f>
        <v>0</v>
      </c>
      <c r="X5" s="35" t="n">
        <f aca="false">X14+X23+X32+X41+X50+X59+X68+X77+X86+X95+X104+X113+X122+X131+X140+X149</f>
        <v>0</v>
      </c>
      <c r="Y5" s="35" t="n">
        <f aca="false">Y14+Y23+Y32+Y41+Y50+Y59+Y68+Y77+Y86+Y95+Y104+Y113+Y122+Y131+Y140+Y149</f>
        <v>0</v>
      </c>
    </row>
    <row r="6" customFormat="false" ht="15" hidden="false" customHeight="true" outlineLevel="0" collapsed="false">
      <c r="A6" s="10" t="s">
        <v>184</v>
      </c>
      <c r="C6" s="35" t="n">
        <f aca="false">C15+C24+C33+C42+C51+C60+C69+C78+C87+C96+C105+C114+C123+C132+C141+C150</f>
        <v>33.0702</v>
      </c>
      <c r="D6" s="35" t="n">
        <f aca="false">D15+D24+D33+D42+D51+D60+D69+D78+D87+D96+D105+D114+D123+D132+D141+D150</f>
        <v>42.7014</v>
      </c>
      <c r="E6" s="35" t="n">
        <f aca="false">E15+E24+E33+E42+E51+E60+E69+E78+E87+E96+E105+E114+E123+E132+E141+E150</f>
        <v>54.3828</v>
      </c>
      <c r="F6" s="35" t="n">
        <f aca="false">F15+F24+F33+F42+F51+F60+F69+F78+F87+F96+F105+F114+F123+F132+F141+F150</f>
        <v>66.87</v>
      </c>
      <c r="G6" s="35" t="n">
        <f aca="false">G15+G24+G33+G42+G51+G60+G69+G78+G87+G96+G105+G114+G123+G132+G141+G150</f>
        <v>80.307</v>
      </c>
      <c r="H6" s="35" t="n">
        <f aca="false">H15+H24+H33+H42+H51+H60+H69+H78+H87+H96+H105+H114+H123+H132+H141+H150</f>
        <v>88.7519</v>
      </c>
      <c r="I6" s="35" t="n">
        <f aca="false">I15+I24+I33+I42+I51+I60+I69+I78+I87+I96+I105+I114+I123+I132+I141+I150</f>
        <v>102.5047</v>
      </c>
      <c r="J6" s="35" t="n">
        <f aca="false">J15+J24+J33+J42+J51+J60+J69+J78+J87+J96+J105+J114+J123+J132+J141+J150</f>
        <v>89.2108</v>
      </c>
      <c r="K6" s="35" t="n">
        <f aca="false">K15+K24+K33+K42+K51+K60+K69+K78+K87+K96+K105+K114+K123+K132+K141+K150</f>
        <v>103.8864</v>
      </c>
      <c r="L6" s="35" t="n">
        <f aca="false">L15+L24+L33+L42+L51+L60+L69+L78+L87+L96+L105+L114+L123+L132+L141+L150</f>
        <v>107.8873</v>
      </c>
      <c r="M6" s="35" t="n">
        <f aca="false">M15+M24+M33+M42+M51+M60+M69+M78+M87+M96+M105+M114+M123+M132+M141+M150</f>
        <v>111.1871</v>
      </c>
      <c r="N6" s="35" t="n">
        <f aca="false">N15+N24+N33+N42+N51+N60+N69+N78+N87+N96+N105+N114+N123+N132+N141+N150</f>
        <v>115.07</v>
      </c>
      <c r="O6" s="35" t="n">
        <f aca="false">O15+O24+O33+O42+O51+O60+O69+O78+O87+O96+O105+O114+O123+O132+O141+O150</f>
        <v>110.8806</v>
      </c>
      <c r="P6" s="35" t="n">
        <f aca="false">P15+P24+P33+P42+P51+P60+P69+P78+P87+P96+P105+P114+P123+P132+P141+P150</f>
        <v>108.4372</v>
      </c>
      <c r="Q6" s="35" t="n">
        <f aca="false">Q15+Q24+Q33+Q42+Q51+Q60+Q69+Q78+Q87+Q96+Q105+Q114+Q123+Q132+Q141+Q150</f>
        <v>101.8008</v>
      </c>
      <c r="R6" s="35" t="n">
        <f aca="false">R15+R24+R33+R42+R51+R60+R69+R78+R87+R96+R105+R114+R123+R132+R141+R150</f>
        <v>99.1376</v>
      </c>
      <c r="S6" s="35" t="n">
        <f aca="false">S15+S24+S33+S42+S51+S60+S69+S78+S87+S96+S105+S114+S123+S132+S141+S150</f>
        <v>96.3988</v>
      </c>
      <c r="T6" s="35" t="n">
        <f aca="false">T15+T24+T33+T42+T51+T60+T69+T78+T87+T96+T105+T114+T123+T132+T141+T150</f>
        <v>89.8422</v>
      </c>
      <c r="U6" s="35" t="n">
        <f aca="false">U15+U24+U33+U42+U51+U60+U69+U78+U87+U96+U105+U114+U123+U132+U141+U150</f>
        <v>77.8202</v>
      </c>
      <c r="V6" s="35" t="n">
        <f aca="false">V15+V24+V33+V42+V51+V60+V69+V78+V87+V96+V105+V114+V123+V132+V141+V150</f>
        <v>59.0402</v>
      </c>
      <c r="W6" s="35" t="n">
        <f aca="false">W15+W24+W33+W42+W51+W60+W69+W78+W87+W96+W105+W114+W123+W132+W141+W150</f>
        <v>37.6308</v>
      </c>
      <c r="X6" s="35" t="n">
        <f aca="false">X15+X24+X33+X42+X51+X60+X69+X78+X87+X96+X105+X114+X123+X132+X141+X150</f>
        <v>13.2243</v>
      </c>
      <c r="Y6" s="35" t="n">
        <f aca="false">Y15+Y24+Y33+Y42+Y51+Y60+Y69+Y78+Y87+Y96+Y105+Y114+Y123+Y132+Y141+Y150</f>
        <v>0</v>
      </c>
    </row>
    <row r="7" customFormat="false" ht="15" hidden="false" customHeight="true" outlineLevel="0" collapsed="false">
      <c r="A7" s="10" t="s">
        <v>185</v>
      </c>
      <c r="C7" s="36" t="n">
        <f aca="false">C16+C25+C34+C43+C52+C61+C70+C79+C88+C97+C106+C115+C124+C133+C142+C151</f>
        <v>50.0421</v>
      </c>
      <c r="D7" s="36" t="n">
        <f aca="false">D16+D25+D34+D43+D52+D61+D70+D79+D88+D97+D106+D115+D124+D133+D142+D151</f>
        <v>68.0981</v>
      </c>
      <c r="E7" s="36" t="n">
        <f aca="false">E16+E25+E34+E43+E52+E61+E70+E79+E88+E97+E106+E115+E124+E133+E142+E151</f>
        <v>91.3839</v>
      </c>
      <c r="F7" s="36" t="n">
        <f aca="false">F16+F25+F34+F43+F52+F61+F70+F79+F88+F97+F106+F115+F124+F133+F142+F151</f>
        <v>117.93</v>
      </c>
      <c r="G7" s="36" t="n">
        <f aca="false">G16+G25+G34+G43+G52+G61+G70+G79+G88+G97+G106+G115+G124+G133+G142+G151</f>
        <v>144.4136</v>
      </c>
      <c r="H7" s="36" t="n">
        <f aca="false">H16+H25+H34+H43+H52+H61+H70+H79+H88+H97+H106+H115+H124+H133+H142+H151</f>
        <v>154.0295</v>
      </c>
      <c r="I7" s="36" t="n">
        <f aca="false">I16+I25+I34+I43+I52+I61+I70+I79+I88+I97+I106+I115+I124+I133+I142+I151</f>
        <v>167.2794</v>
      </c>
      <c r="J7" s="36" t="n">
        <f aca="false">J16+J25+J34+J43+J52+J61+J70+J79+J88+J97+J106+J115+J124+J133+J142+J151</f>
        <v>140.7358</v>
      </c>
      <c r="K7" s="36" t="n">
        <f aca="false">K16+K25+K34+K43+K52+K61+K70+K79+K88+K97+K106+K115+K124+K133+K142+K151</f>
        <v>151.8311</v>
      </c>
      <c r="L7" s="36" t="n">
        <f aca="false">L16+L25+L34+L43+L52+L61+L70+L79+L88+L97+L106+L115+L124+L133+L142+L151</f>
        <v>145.5792</v>
      </c>
      <c r="M7" s="36" t="n">
        <f aca="false">M16+M25+M34+M43+M52+M61+M70+M79+M88+M97+M106+M115+M124+M133+M142+M151</f>
        <v>142.8943</v>
      </c>
      <c r="N7" s="36" t="n">
        <f aca="false">N16+N25+N34+N43+N52+N61+N70+N79+N88+N97+N106+N115+N124+N133+N142+N151</f>
        <v>140.3621</v>
      </c>
      <c r="O7" s="36" t="n">
        <f aca="false">O16+O25+O34+O43+O52+O61+O70+O79+O88+O97+O106+O115+O124+O133+O142+O151</f>
        <v>118.1265</v>
      </c>
      <c r="P7" s="36" t="n">
        <f aca="false">P16+P25+P34+P43+P52+P61+P70+P79+P88+P97+P106+P115+P124+P133+P142+P151</f>
        <v>96.8549</v>
      </c>
      <c r="Q7" s="36" t="n">
        <f aca="false">Q16+Q25+Q34+Q43+Q52+Q61+Q70+Q79+Q88+Q97+Q106+Q115+Q124+Q133+Q142+Q151</f>
        <v>73.8774</v>
      </c>
      <c r="R7" s="36" t="n">
        <f aca="false">R16+R25+R34+R43+R52+R61+R70+R79+R88+R97+R106+R115+R124+R133+R142+R151</f>
        <v>47.6829</v>
      </c>
      <c r="S7" s="36" t="n">
        <f aca="false">S16+S25+S34+S43+S52+S61+S70+S79+S88+S97+S106+S115+S124+S133+S142+S151</f>
        <v>17.8211</v>
      </c>
      <c r="T7" s="36" t="n">
        <f aca="false">T16+T25+T34+T43+T52+T61+T70+T79+T88+T97+T106+T115+T124+T133+T142+T151</f>
        <v>0</v>
      </c>
      <c r="U7" s="36" t="n">
        <f aca="false">U16+U25+U34+U43+U52+U61+U70+U79+U88+U97+U106+U115+U124+U133+U142+U151</f>
        <v>0</v>
      </c>
      <c r="V7" s="36" t="n">
        <f aca="false">V16+V25+V34+V43+V52+V61+V70+V79+V88+V97+V106+V115+V124+V133+V142+V151</f>
        <v>0</v>
      </c>
      <c r="W7" s="36" t="n">
        <f aca="false">W16+W25+W34+W43+W52+W61+W70+W79+W88+W97+W106+W115+W124+W133+W142+W151</f>
        <v>0</v>
      </c>
      <c r="X7" s="36" t="n">
        <f aca="false">X16+X25+X34+X43+X52+X61+X70+X79+X88+X97+X106+X115+X124+X133+X142+X151</f>
        <v>0</v>
      </c>
      <c r="Y7" s="36" t="n">
        <f aca="false">Y16+Y25+Y34+Y43+Y52+Y61+Y70+Y79+Y88+Y97+Y106+Y115+Y124+Y133+Y142+Y151</f>
        <v>0</v>
      </c>
    </row>
    <row r="8" customFormat="false" ht="15" hidden="false" customHeight="true" outlineLevel="0" collapsed="false">
      <c r="A8" s="10" t="s">
        <v>186</v>
      </c>
      <c r="C8" s="36" t="n">
        <f aca="false">C17+C26+C35+C44+C53+C62+C71+C80+C89+C98+C107+C116+C125+C134+C143+C152</f>
        <v>29.2455</v>
      </c>
      <c r="D8" s="36" t="n">
        <f aca="false">D17+D26+D35+D44+D53+D62+D71+D80+D89+D98+D107+D116+D125+D134+D143+D152</f>
        <v>39.0615</v>
      </c>
      <c r="E8" s="36" t="n">
        <f aca="false">E17+E26+E35+E44+E53+E62+E71+E80+E89+E98+E107+E116+E125+E134+E143+E152</f>
        <v>52.0395</v>
      </c>
      <c r="F8" s="36" t="n">
        <f aca="false">F17+F26+F35+F44+F53+F62+F71+F80+F89+F98+F107+F116+F125+F134+F143+F152</f>
        <v>66.8341</v>
      </c>
      <c r="G8" s="36" t="n">
        <f aca="false">G17+G26+G35+G44+G53+G62+G71+G80+G89+G98+G107+G116+G125+G134+G143+G152</f>
        <v>81.7002</v>
      </c>
      <c r="H8" s="36" t="n">
        <f aca="false">H17+H26+H35+H44+H53+H62+H71+H80+H89+H98+H107+H116+H125+H134+H143+H152</f>
        <v>87.6259</v>
      </c>
      <c r="I8" s="36" t="n">
        <f aca="false">I17+I26+I35+I44+I53+I62+I71+I80+I89+I98+I107+I116+I125+I134+I143+I152</f>
        <v>96.7232</v>
      </c>
      <c r="J8" s="36" t="n">
        <f aca="false">J17+J26+J35+J44+J53+J62+J71+J80+J89+J98+J107+J116+J125+J134+J143+J152</f>
        <v>82.3822</v>
      </c>
      <c r="K8" s="36" t="n">
        <f aca="false">K17+K26+K35+K44+K53+K62+K71+K80+K89+K98+K107+K116+K125+K134+K143+K152</f>
        <v>90.6891</v>
      </c>
      <c r="L8" s="36" t="n">
        <f aca="false">L17+L26+L35+L44+L53+L62+L71+L80+L89+L98+L107+L116+L125+L134+L143+L152</f>
        <v>89.3657</v>
      </c>
      <c r="M8" s="36" t="n">
        <f aca="false">M17+M26+M35+M44+M53+M62+M71+M80+M89+M98+M107+M116+M125+M134+M143+M152</f>
        <v>89.0387</v>
      </c>
      <c r="N8" s="36" t="n">
        <f aca="false">N17+N26+N35+N44+N53+N62+N71+N80+N89+N98+N107+N116+N125+N134+N143+N152</f>
        <v>88.979</v>
      </c>
      <c r="O8" s="36" t="n">
        <f aca="false">O17+O26+O35+O44+O53+O62+O71+O80+O89+O98+O107+O116+O125+O134+O143+O152</f>
        <v>75.3392</v>
      </c>
      <c r="P8" s="36" t="n">
        <f aca="false">P17+P26+P35+P44+P53+P62+P71+P80+P89+P98+P107+P116+P125+P134+P143+P152</f>
        <v>61.9591</v>
      </c>
      <c r="Q8" s="36" t="n">
        <f aca="false">Q17+Q26+Q35+Q44+Q53+Q62+Q71+Q80+Q89+Q98+Q107+Q116+Q125+Q134+Q143+Q152</f>
        <v>47.4791</v>
      </c>
      <c r="R8" s="36" t="n">
        <f aca="false">R17+R26+R35+R44+R53+R62+R71+R80+R89+R98+R107+R116+R125+R134+R143+R152</f>
        <v>30.9717</v>
      </c>
      <c r="S8" s="36" t="n">
        <f aca="false">S17+S26+S35+S44+S53+S62+S71+S80+S89+S98+S107+S116+S125+S134+S143+S152</f>
        <v>12.1531</v>
      </c>
      <c r="T8" s="36" t="n">
        <f aca="false">T17+T26+T35+T44+T53+T62+T71+T80+T89+T98+T107+T116+T125+T134+T143+T152</f>
        <v>0</v>
      </c>
      <c r="U8" s="36" t="n">
        <f aca="false">U17+U26+U35+U44+U53+U62+U71+U80+U89+U98+U107+U116+U125+U134+U143+U152</f>
        <v>0</v>
      </c>
      <c r="V8" s="36" t="n">
        <f aca="false">V17+V26+V35+V44+V53+V62+V71+V80+V89+V98+V107+V116+V125+V134+V143+V152</f>
        <v>0</v>
      </c>
      <c r="W8" s="36" t="n">
        <f aca="false">W17+W26+W35+W44+W53+W62+W71+W80+W89+W98+W107+W116+W125+W134+W143+W152</f>
        <v>0</v>
      </c>
      <c r="X8" s="36" t="n">
        <f aca="false">X17+X26+X35+X44+X53+X62+X71+X80+X89+X98+X107+X116+X125+X134+X143+X152</f>
        <v>0</v>
      </c>
      <c r="Y8" s="36" t="n">
        <f aca="false">Y17+Y26+Y35+Y44+Y53+Y62+Y71+Y80+Y89+Y98+Y107+Y116+Y125+Y134+Y143+Y152</f>
        <v>0</v>
      </c>
    </row>
    <row r="9" customFormat="false" ht="15" hidden="false" customHeight="true" outlineLevel="0" collapsed="false">
      <c r="A9" s="10" t="s">
        <v>187</v>
      </c>
      <c r="C9" s="35" t="n">
        <f aca="false">C18+C27+C36+C45+C54+C63+C72+C81+C90+C99+C108+C117+C126+C135+C144+C153</f>
        <v>20.0152</v>
      </c>
      <c r="D9" s="35" t="n">
        <f aca="false">D18+D27+D36+D45+D54+D63+D72+D81+D90+D99+D108+D117+D126+D135+D144+D153</f>
        <v>26.002</v>
      </c>
      <c r="E9" s="35" t="n">
        <f aca="false">E18+E27+E36+E45+E54+E63+E72+E81+E90+E99+E108+E117+E126+E135+E144+E153</f>
        <v>33.7507</v>
      </c>
      <c r="F9" s="35" t="n">
        <f aca="false">F18+F27+F36+F45+F54+F63+F72+F81+F90+F99+F108+F117+F126+F135+F144+F153</f>
        <v>42.5845</v>
      </c>
      <c r="G9" s="35" t="n">
        <f aca="false">G18+G27+G36+G45+G54+G63+G72+G81+G90+G99+G108+G117+G126+G135+G144+G153</f>
        <v>51.1078</v>
      </c>
      <c r="H9" s="35" t="n">
        <f aca="false">H18+H27+H36+H45+H54+H63+H72+H81+H90+H99+H108+H117+H126+H135+H144+H153</f>
        <v>54.6817</v>
      </c>
      <c r="I9" s="35" t="n">
        <f aca="false">I18+I27+I36+I45+I54+I63+I72+I81+I90+I99+I108+I117+I126+I135+I144+I153</f>
        <v>59.8329</v>
      </c>
      <c r="J9" s="35" t="n">
        <f aca="false">J18+J27+J36+J45+J54+J63+J72+J81+J90+J99+J108+J117+J126+J135+J144+J153</f>
        <v>48.4117</v>
      </c>
      <c r="K9" s="35" t="n">
        <f aca="false">K18+K27+K36+K45+K54+K63+K72+K81+K90+K99+K108+K117+K126+K135+K144+K153</f>
        <v>52.7433</v>
      </c>
      <c r="L9" s="35" t="n">
        <f aca="false">L18+L27+L36+L45+L54+L63+L72+L81+L90+L99+L108+L117+L126+L135+L144+L153</f>
        <v>51.5656</v>
      </c>
      <c r="M9" s="35" t="n">
        <f aca="false">M18+M27+M36+M45+M54+M63+M72+M81+M90+M99+M108+M117+M126+M135+M144+M153</f>
        <v>51.2048</v>
      </c>
      <c r="N9" s="35" t="n">
        <f aca="false">N18+N27+N36+N45+N54+N63+N72+N81+N90+N99+N108+N117+N126+N135+N144+N153</f>
        <v>51.0061</v>
      </c>
      <c r="O9" s="35" t="n">
        <f aca="false">O18+O27+O36+O45+O54+O63+O72+O81+O90+O99+O108+O117+O126+O135+O144+O153</f>
        <v>42.9132</v>
      </c>
      <c r="P9" s="35" t="n">
        <f aca="false">P18+P27+P36+P45+P54+P63+P72+P81+P90+P99+P108+P117+P126+P135+P144+P153</f>
        <v>35.201</v>
      </c>
      <c r="Q9" s="35" t="n">
        <f aca="false">Q18+Q27+Q36+Q45+Q54+Q63+Q72+Q81+Q90+Q99+Q108+Q117+Q126+Q135+Q144+Q153</f>
        <v>26.9314</v>
      </c>
      <c r="R9" s="35" t="n">
        <f aca="false">R18+R27+R36+R45+R54+R63+R72+R81+R90+R99+R108+R117+R126+R135+R144+R153</f>
        <v>17.504</v>
      </c>
      <c r="S9" s="35" t="n">
        <f aca="false">S18+S27+S36+S45+S54+S63+S72+S81+S90+S99+S108+S117+S126+S135+S144+S153</f>
        <v>6.7569</v>
      </c>
      <c r="T9" s="35" t="n">
        <f aca="false">T18+T27+T36+T45+T54+T63+T72+T81+T90+T99+T108+T117+T126+T135+T144+T153</f>
        <v>0</v>
      </c>
      <c r="U9" s="35" t="n">
        <f aca="false">U18+U27+U36+U45+U54+U63+U72+U81+U90+U99+U108+U117+U126+U135+U144+U153</f>
        <v>0</v>
      </c>
      <c r="V9" s="35" t="n">
        <f aca="false">V18+V27+V36+V45+V54+V63+V72+V81+V90+V99+V108+V117+V126+V135+V144+V153</f>
        <v>0</v>
      </c>
      <c r="W9" s="35" t="n">
        <f aca="false">W18+W27+W36+W45+W54+W63+W72+W81+W90+W99+W108+W117+W126+W135+W144+W153</f>
        <v>0</v>
      </c>
      <c r="X9" s="35" t="n">
        <f aca="false">X18+X27+X36+X45+X54+X63+X72+X81+X90+X99+X108+X117+X126+X135+X144+X153</f>
        <v>0</v>
      </c>
      <c r="Y9" s="35" t="n">
        <f aca="false">Y18+Y27+Y36+Y45+Y54+Y63+Y72+Y81+Y90+Y99+Y108+Y117+Y126+Y135+Y144+Y153</f>
        <v>0</v>
      </c>
    </row>
    <row r="10" customFormat="false" ht="15" hidden="false" customHeight="true" outlineLevel="0" collapsed="false">
      <c r="A10" s="10" t="s">
        <v>188</v>
      </c>
      <c r="C10" s="35" t="n">
        <f aca="false">C19+C28+C37+C46+C55+C64+C73+C82+C91+C100+C109+C118+C127+C136+C145+C154</f>
        <v>0</v>
      </c>
      <c r="D10" s="35" t="n">
        <f aca="false">D19+D28+D37+D46+D55+D64+D73+D82+D91+D100+D109+D118+D127+D136+D145+D154</f>
        <v>0</v>
      </c>
      <c r="E10" s="35" t="n">
        <f aca="false">E19+E28+E37+E46+E55+E64+E73+E82+E91+E100+E109+E118+E127+E136+E145+E154</f>
        <v>0</v>
      </c>
      <c r="F10" s="35" t="n">
        <f aca="false">F19+F28+F37+F46+F55+F64+F73+F82+F91+F100+F109+F118+F127+F136+F145+F154</f>
        <v>0</v>
      </c>
      <c r="G10" s="35" t="n">
        <f aca="false">G19+G28+G37+G46+G55+G64+G73+G82+G91+G100+G109+G118+G127+G136+G145+G154</f>
        <v>0</v>
      </c>
      <c r="H10" s="35" t="n">
        <f aca="false">H19+H28+H37+H46+H55+H64+H73+H82+H91+H100+H109+H118+H127+H136+H145+H154</f>
        <v>0</v>
      </c>
      <c r="I10" s="35" t="n">
        <f aca="false">I19+I28+I37+I46+I55+I64+I73+I82+I91+I100+I109+I118+I127+I136+I145+I154</f>
        <v>0</v>
      </c>
      <c r="J10" s="35" t="n">
        <f aca="false">J19+J28+J37+J46+J55+J64+J73+J82+J91+J100+J109+J118+J127+J136+J145+J154</f>
        <v>0</v>
      </c>
      <c r="K10" s="35" t="n">
        <f aca="false">K19+K28+K37+K46+K55+K64+K73+K82+K91+K100+K109+K118+K127+K136+K145+K154</f>
        <v>0</v>
      </c>
      <c r="L10" s="35" t="n">
        <f aca="false">L19+L28+L37+L46+L55+L64+L73+L82+L91+L100+L109+L118+L127+L136+L145+L154</f>
        <v>0</v>
      </c>
      <c r="M10" s="35" t="n">
        <f aca="false">M19+M28+M37+M46+M55+M64+M73+M82+M91+M100+M109+M118+M127+M136+M145+M154</f>
        <v>0</v>
      </c>
      <c r="N10" s="35" t="n">
        <f aca="false">N19+N28+N37+N46+N55+N64+N73+N82+N91+N100+N109+N118+N127+N136+N145+N154</f>
        <v>0</v>
      </c>
      <c r="O10" s="35" t="n">
        <f aca="false">O19+O28+O37+O46+O55+O64+O73+O82+O91+O100+O109+O118+O127+O136+O145+O154</f>
        <v>0</v>
      </c>
      <c r="P10" s="35" t="n">
        <f aca="false">P19+P28+P37+P46+P55+P64+P73+P82+P91+P100+P109+P118+P127+P136+P145+P154</f>
        <v>0</v>
      </c>
      <c r="Q10" s="35" t="n">
        <f aca="false">Q19+Q28+Q37+Q46+Q55+Q64+Q73+Q82+Q91+Q100+Q109+Q118+Q127+Q136+Q145+Q154</f>
        <v>0</v>
      </c>
      <c r="R10" s="35" t="n">
        <f aca="false">R19+R28+R37+R46+R55+R64+R73+R82+R91+R100+R109+R118+R127+R136+R145+R154</f>
        <v>0</v>
      </c>
      <c r="S10" s="35" t="n">
        <f aca="false">S19+S28+S37+S46+S55+S64+S73+S82+S91+S100+S109+S118+S127+S136+S145+S154</f>
        <v>0</v>
      </c>
      <c r="T10" s="35" t="n">
        <f aca="false">T19+T28+T37+T46+T55+T64+T73+T82+T91+T100+T109+T118+T127+T136+T145+T154</f>
        <v>0</v>
      </c>
      <c r="U10" s="35" t="n">
        <f aca="false">U19+U28+U37+U46+U55+U64+U73+U82+U91+U100+U109+U118+U127+U136+U145+U154</f>
        <v>0</v>
      </c>
      <c r="V10" s="35" t="n">
        <f aca="false">V19+V28+V37+V46+V55+V64+V73+V82+V91+V100+V109+V118+V127+V136+V145+V154</f>
        <v>0</v>
      </c>
      <c r="W10" s="35" t="n">
        <f aca="false">W19+W28+W37+W46+W55+W64+W73+W82+W91+W100+W109+W118+W127+W136+W145+W154</f>
        <v>0</v>
      </c>
      <c r="X10" s="35" t="n">
        <f aca="false">X19+X28+X37+X46+X55+X64+X73+X82+X91+X100+X109+X118+X127+X136+X145+X154</f>
        <v>0</v>
      </c>
      <c r="Y10" s="35" t="n">
        <f aca="false">Y19+Y28+Y37+Y46+Y55+Y64+Y73+Y82+Y91+Y100+Y109+Y118+Y127+Y136+Y145+Y154</f>
        <v>0</v>
      </c>
    </row>
    <row r="11" customFormat="false" ht="15" hidden="false" customHeight="true" outlineLevel="0" collapsed="false">
      <c r="A11" s="42" t="s">
        <v>189</v>
      </c>
      <c r="C11" s="35" t="n">
        <f aca="false">C20+C29+C38+C47+C56+C65+C74+C83+C92+C101+C110+C119+C128+C137+C146+C155</f>
        <v>4.4206</v>
      </c>
      <c r="D11" s="35" t="n">
        <f aca="false">D20+D29+D38+D47+D56+D65+D74+D83+D92+D101+D110+D119+D128+D137+D146+D155</f>
        <v>6.8826</v>
      </c>
      <c r="E11" s="35" t="n">
        <f aca="false">E20+E29+E38+E47+E56+E65+E74+E83+E92+E101+E110+E119+E128+E137+E146+E155</f>
        <v>9.1081</v>
      </c>
      <c r="F11" s="35" t="n">
        <f aca="false">F20+F29+F38+F47+F56+F65+F74+F83+F92+F101+F110+F119+F128+F137+F146+F155</f>
        <v>10.3832</v>
      </c>
      <c r="G11" s="35" t="n">
        <f aca="false">G20+G29+G38+G47+G56+G65+G74+G83+G92+G101+G110+G119+G128+G137+G146+G155</f>
        <v>11.3582</v>
      </c>
      <c r="H11" s="35" t="n">
        <f aca="false">H20+H29+H38+H47+H56+H65+H74+H83+H92+H101+H110+H119+H128+H137+H146+H155</f>
        <v>8.6907</v>
      </c>
      <c r="I11" s="35" t="n">
        <f aca="false">I20+I29+I38+I47+I56+I65+I74+I83+I92+I101+I110+I119+I128+I137+I146+I155</f>
        <v>12.2225</v>
      </c>
      <c r="J11" s="35" t="n">
        <f aca="false">J20+J29+J38+J47+J56+J65+J74+J83+J92+J101+J110+J119+J128+J137+J146+J155</f>
        <v>11.9768</v>
      </c>
      <c r="K11" s="35" t="n">
        <f aca="false">K20+K29+K38+K47+K56+K65+K74+K83+K92+K101+K110+K119+K128+K137+K146+K155</f>
        <v>13.1194</v>
      </c>
      <c r="L11" s="35" t="n">
        <f aca="false">L20+L29+L38+L47+L56+L65+L74+L83+L92+L101+L110+L119+L128+L137+L146+L155</f>
        <v>7.1699</v>
      </c>
      <c r="M11" s="35" t="n">
        <f aca="false">M20+M29+M38+M47+M56+M65+M74+M83+M92+M101+M110+M119+M128+M137+M146+M155</f>
        <v>5.2672</v>
      </c>
      <c r="N11" s="35" t="n">
        <f aca="false">N20+N29+N38+N47+N56+N65+N74+N83+N92+N101+N110+N119+N128+N137+N146+N155</f>
        <v>6.0046</v>
      </c>
      <c r="O11" s="35" t="n">
        <f aca="false">O20+O29+O38+O47+O56+O65+O74+O83+O92+O101+O110+O119+O128+O137+O146+O155</f>
        <v>0</v>
      </c>
      <c r="P11" s="35" t="n">
        <f aca="false">P20+P29+P38+P47+P56+P65+P74+P83+P92+P101+P110+P119+P128+P137+P146+P155</f>
        <v>0</v>
      </c>
      <c r="Q11" s="35" t="n">
        <f aca="false">Q20+Q29+Q38+Q47+Q56+Q65+Q74+Q83+Q92+Q101+Q110+Q119+Q128+Q137+Q146+Q155</f>
        <v>0</v>
      </c>
      <c r="R11" s="35" t="n">
        <f aca="false">R20+R29+R38+R47+R56+R65+R74+R83+R92+R101+R110+R119+R128+R137+R146+R155</f>
        <v>0</v>
      </c>
      <c r="S11" s="35" t="n">
        <f aca="false">S20+S29+S38+S47+S56+S65+S74+S83+S92+S101+S110+S119+S128+S137+S146+S155</f>
        <v>0</v>
      </c>
      <c r="T11" s="35" t="n">
        <f aca="false">T20+T29+T38+T47+T56+T65+T74+T83+T92+T101+T110+T119+T128+T137+T146+T155</f>
        <v>0</v>
      </c>
      <c r="U11" s="35" t="n">
        <f aca="false">U20+U29+U38+U47+U56+U65+U74+U83+U92+U101+U110+U119+U128+U137+U146+U155</f>
        <v>0</v>
      </c>
      <c r="V11" s="35" t="n">
        <f aca="false">V20+V29+V38+V47+V56+V65+V74+V83+V92+V101+V110+V119+V128+V137+V146+V155</f>
        <v>0</v>
      </c>
      <c r="W11" s="35" t="n">
        <f aca="false">W20+W29+W38+W47+W56+W65+W74+W83+W92+W101+W110+W119+W128+W137+W146+W155</f>
        <v>0</v>
      </c>
      <c r="X11" s="35" t="n">
        <f aca="false">X20+X29+X38+X47+X56+X65+X74+X83+X92+X101+X110+X119+X128+X137+X146+X155</f>
        <v>0</v>
      </c>
      <c r="Y11" s="35" t="n">
        <f aca="false">Y20+Y29+Y38+Y47+Y56+Y65+Y74+Y83+Y92+Y101+Y110+Y119+Y128+Y137+Y146+Y155</f>
        <v>0</v>
      </c>
    </row>
    <row r="13" customFormat="false" ht="15" hidden="false" customHeight="true" outlineLevel="0" collapsed="false">
      <c r="A13" s="43" t="s">
        <v>77</v>
      </c>
      <c r="B13" s="6"/>
      <c r="C13" s="6"/>
      <c r="D13" s="6"/>
      <c r="E13" s="6"/>
      <c r="F13" s="6"/>
      <c r="G13" s="6"/>
      <c r="H13" s="6"/>
      <c r="I13" s="6"/>
      <c r="J13" s="6"/>
      <c r="K13" s="6"/>
      <c r="L13" s="6"/>
      <c r="M13" s="6"/>
      <c r="N13" s="6"/>
      <c r="O13" s="6"/>
      <c r="P13" s="6"/>
      <c r="Q13" s="6"/>
      <c r="R13" s="6"/>
      <c r="S13" s="6"/>
      <c r="T13" s="6"/>
      <c r="U13" s="6"/>
      <c r="V13" s="6"/>
      <c r="W13" s="6"/>
      <c r="X13" s="6"/>
      <c r="Y13" s="6"/>
    </row>
    <row r="14" customFormat="false" ht="15" hidden="false" customHeight="true" outlineLevel="0" collapsed="false">
      <c r="A14" s="14" t="s">
        <v>183</v>
      </c>
      <c r="C14" s="44" t="n">
        <v>12.9623</v>
      </c>
      <c r="D14" s="44" t="n">
        <v>14.777</v>
      </c>
      <c r="E14" s="44" t="n">
        <v>16.8458</v>
      </c>
      <c r="F14" s="44" t="n">
        <v>19.2042</v>
      </c>
      <c r="G14" s="44" t="n">
        <v>21.8928</v>
      </c>
      <c r="H14" s="44" t="n">
        <v>24.9578</v>
      </c>
      <c r="I14" s="44" t="n">
        <v>28.4519</v>
      </c>
      <c r="J14" s="44" t="n">
        <v>32.4351</v>
      </c>
      <c r="K14" s="44" t="n">
        <v>36.976</v>
      </c>
      <c r="L14" s="44" t="n">
        <v>0</v>
      </c>
      <c r="M14" s="44" t="n">
        <v>0</v>
      </c>
      <c r="N14" s="44" t="n">
        <v>0</v>
      </c>
      <c r="O14" s="44" t="n">
        <v>0</v>
      </c>
      <c r="P14" s="44" t="n">
        <v>0</v>
      </c>
      <c r="Q14" s="44" t="n">
        <v>0</v>
      </c>
      <c r="R14" s="44" t="n">
        <v>0</v>
      </c>
      <c r="S14" s="44" t="n">
        <v>0</v>
      </c>
      <c r="T14" s="44" t="n">
        <v>0</v>
      </c>
      <c r="U14" s="44" t="n">
        <v>0</v>
      </c>
      <c r="V14" s="44" t="n">
        <v>0</v>
      </c>
      <c r="W14" s="44" t="n">
        <v>0</v>
      </c>
      <c r="X14" s="44" t="n">
        <v>0</v>
      </c>
      <c r="Y14" s="44" t="n">
        <v>0</v>
      </c>
    </row>
    <row r="15" customFormat="false" ht="15" hidden="false" customHeight="true" outlineLevel="0" collapsed="false">
      <c r="A15" s="14" t="s">
        <v>184</v>
      </c>
      <c r="C15" s="44" t="n">
        <v>1.2962</v>
      </c>
      <c r="D15" s="44" t="n">
        <v>2.2068</v>
      </c>
      <c r="E15" s="44" t="n">
        <v>3.2449</v>
      </c>
      <c r="F15" s="44" t="n">
        <v>4.4283</v>
      </c>
      <c r="G15" s="44" t="n">
        <v>5.7774</v>
      </c>
      <c r="H15" s="44" t="n">
        <v>7.3154</v>
      </c>
      <c r="I15" s="44" t="n">
        <v>9.0687</v>
      </c>
      <c r="J15" s="44" t="n">
        <v>11.0674</v>
      </c>
      <c r="K15" s="44" t="n">
        <v>13.346</v>
      </c>
      <c r="L15" s="44" t="n">
        <v>12.4574</v>
      </c>
      <c r="M15" s="44" t="n">
        <v>13.2886</v>
      </c>
      <c r="N15" s="44" t="n">
        <v>14.2362</v>
      </c>
      <c r="O15" s="44" t="n">
        <v>15.3164</v>
      </c>
      <c r="P15" s="44" t="n">
        <v>15.0896</v>
      </c>
      <c r="Q15" s="44" t="n">
        <v>14.8311</v>
      </c>
      <c r="R15" s="44" t="n">
        <v>14.5364</v>
      </c>
      <c r="S15" s="44" t="n">
        <v>14.2004</v>
      </c>
      <c r="T15" s="44" t="n">
        <v>13.8173</v>
      </c>
      <c r="U15" s="44" t="n">
        <v>11.0096</v>
      </c>
      <c r="V15" s="44" t="n">
        <v>7.8088</v>
      </c>
      <c r="W15" s="44" t="n">
        <v>4.1598</v>
      </c>
      <c r="X15" s="44" t="n">
        <v>0</v>
      </c>
      <c r="Y15" s="44" t="n">
        <v>0</v>
      </c>
    </row>
    <row r="16" customFormat="false" ht="15" hidden="false" customHeight="true" outlineLevel="0" collapsed="false">
      <c r="A16" s="14" t="s">
        <v>185</v>
      </c>
      <c r="C16" s="44" t="n">
        <v>1.6203</v>
      </c>
      <c r="D16" s="44" t="n">
        <v>3.4674</v>
      </c>
      <c r="E16" s="44" t="n">
        <v>5.5731</v>
      </c>
      <c r="F16" s="44" t="n">
        <v>7.9737</v>
      </c>
      <c r="G16" s="44" t="n">
        <v>10.7103</v>
      </c>
      <c r="H16" s="44" t="n">
        <v>13.83</v>
      </c>
      <c r="I16" s="44" t="n">
        <v>17.3865</v>
      </c>
      <c r="J16" s="44" t="n">
        <v>21.4408</v>
      </c>
      <c r="K16" s="44" t="n">
        <v>24.4426</v>
      </c>
      <c r="L16" s="44" t="n">
        <v>22.5954</v>
      </c>
      <c r="M16" s="44" t="n">
        <v>20.4897</v>
      </c>
      <c r="N16" s="44" t="n">
        <v>18.0892</v>
      </c>
      <c r="O16" s="44" t="n">
        <v>15.3526</v>
      </c>
      <c r="P16" s="44" t="n">
        <v>12.2329</v>
      </c>
      <c r="Q16" s="44" t="n">
        <v>8.6764</v>
      </c>
      <c r="R16" s="44" t="n">
        <v>4.622</v>
      </c>
      <c r="S16" s="44" t="n">
        <v>0</v>
      </c>
      <c r="T16" s="44" t="n">
        <v>0</v>
      </c>
      <c r="U16" s="44" t="n">
        <v>0</v>
      </c>
      <c r="V16" s="44" t="n">
        <v>0</v>
      </c>
      <c r="W16" s="44" t="n">
        <v>0</v>
      </c>
      <c r="X16" s="44" t="n">
        <v>0</v>
      </c>
      <c r="Y16" s="44" t="n">
        <v>0</v>
      </c>
    </row>
    <row r="17" customFormat="false" ht="15" hidden="false" customHeight="true" outlineLevel="0" collapsed="false">
      <c r="A17" s="14" t="s">
        <v>186</v>
      </c>
      <c r="C17" s="44" t="n">
        <v>0.9518</v>
      </c>
      <c r="D17" s="44" t="n">
        <v>2.0369</v>
      </c>
      <c r="E17" s="44" t="n">
        <v>3.274</v>
      </c>
      <c r="F17" s="44" t="n">
        <v>4.6842</v>
      </c>
      <c r="G17" s="44" t="n">
        <v>6.2918</v>
      </c>
      <c r="H17" s="44" t="n">
        <v>8.1245</v>
      </c>
      <c r="I17" s="44" t="n">
        <v>10.2137</v>
      </c>
      <c r="J17" s="44" t="n">
        <v>12.5955</v>
      </c>
      <c r="K17" s="44" t="n">
        <v>14.3589</v>
      </c>
      <c r="L17" s="44" t="n">
        <v>13.2738</v>
      </c>
      <c r="M17" s="44" t="n">
        <v>12.0368</v>
      </c>
      <c r="N17" s="44" t="n">
        <v>10.6266</v>
      </c>
      <c r="O17" s="44" t="n">
        <v>9.0189</v>
      </c>
      <c r="P17" s="44" t="n">
        <v>7.1863</v>
      </c>
      <c r="Q17" s="44" t="n">
        <v>5.097</v>
      </c>
      <c r="R17" s="44" t="n">
        <v>2.7152</v>
      </c>
      <c r="S17" s="44" t="n">
        <v>0</v>
      </c>
      <c r="T17" s="44" t="n">
        <v>0</v>
      </c>
      <c r="U17" s="44" t="n">
        <v>0</v>
      </c>
      <c r="V17" s="44" t="n">
        <v>0</v>
      </c>
      <c r="W17" s="44" t="n">
        <v>0</v>
      </c>
      <c r="X17" s="44" t="n">
        <v>0</v>
      </c>
      <c r="Y17" s="44" t="n">
        <v>0</v>
      </c>
    </row>
    <row r="18" customFormat="false" ht="15" hidden="false" customHeight="true" outlineLevel="0" collapsed="false">
      <c r="A18" s="14" t="s">
        <v>187</v>
      </c>
      <c r="C18" s="44" t="n">
        <v>0.6736</v>
      </c>
      <c r="D18" s="44" t="n">
        <v>1.4416</v>
      </c>
      <c r="E18" s="44" t="n">
        <v>2.317</v>
      </c>
      <c r="F18" s="44" t="n">
        <v>3.3151</v>
      </c>
      <c r="G18" s="44" t="n">
        <v>4.4528</v>
      </c>
      <c r="H18" s="44" t="n">
        <v>5.7498</v>
      </c>
      <c r="I18" s="44" t="n">
        <v>7.2284</v>
      </c>
      <c r="J18" s="44" t="n">
        <v>8.9141</v>
      </c>
      <c r="K18" s="44" t="n">
        <v>10.162</v>
      </c>
      <c r="L18" s="44" t="n">
        <v>9.3941</v>
      </c>
      <c r="M18" s="44" t="n">
        <v>8.5186</v>
      </c>
      <c r="N18" s="44" t="n">
        <v>7.5206</v>
      </c>
      <c r="O18" s="44" t="n">
        <v>6.3829</v>
      </c>
      <c r="P18" s="44" t="n">
        <v>5.0858</v>
      </c>
      <c r="Q18" s="44" t="n">
        <v>3.6072</v>
      </c>
      <c r="R18" s="44" t="n">
        <v>1.9216</v>
      </c>
      <c r="S18" s="44" t="n">
        <v>0</v>
      </c>
      <c r="T18" s="44" t="n">
        <v>0</v>
      </c>
      <c r="U18" s="44" t="n">
        <v>0</v>
      </c>
      <c r="V18" s="44" t="n">
        <v>0</v>
      </c>
      <c r="W18" s="44" t="n">
        <v>0</v>
      </c>
      <c r="X18" s="44" t="n">
        <v>0</v>
      </c>
      <c r="Y18" s="44" t="n">
        <v>0</v>
      </c>
    </row>
    <row r="19" customFormat="false" ht="15" hidden="false" customHeight="true" outlineLevel="0" collapsed="false">
      <c r="A19" s="14" t="s">
        <v>188</v>
      </c>
      <c r="C19" s="44" t="n">
        <v>0</v>
      </c>
      <c r="D19" s="44" t="n">
        <v>0</v>
      </c>
      <c r="E19" s="44" t="n">
        <v>0</v>
      </c>
      <c r="F19" s="44" t="n">
        <v>0</v>
      </c>
      <c r="G19" s="44" t="n">
        <v>0</v>
      </c>
      <c r="H19" s="44" t="n">
        <v>0</v>
      </c>
      <c r="I19" s="44" t="n">
        <v>0</v>
      </c>
      <c r="J19" s="44" t="n">
        <v>0</v>
      </c>
      <c r="K19" s="44" t="n">
        <v>0</v>
      </c>
      <c r="L19" s="44" t="n">
        <v>0</v>
      </c>
      <c r="M19" s="44" t="n">
        <v>0</v>
      </c>
      <c r="N19" s="44" t="n">
        <v>0</v>
      </c>
      <c r="O19" s="44" t="n">
        <v>0</v>
      </c>
      <c r="P19" s="44" t="n">
        <v>0</v>
      </c>
      <c r="Q19" s="44" t="n">
        <v>0</v>
      </c>
      <c r="R19" s="44" t="n">
        <v>0</v>
      </c>
      <c r="S19" s="44" t="n">
        <v>0</v>
      </c>
      <c r="T19" s="44" t="n">
        <v>0</v>
      </c>
      <c r="U19" s="44" t="n">
        <v>0</v>
      </c>
      <c r="V19" s="44" t="n">
        <v>0</v>
      </c>
      <c r="W19" s="44" t="n">
        <v>0</v>
      </c>
      <c r="X19" s="44" t="n">
        <v>0</v>
      </c>
      <c r="Y19" s="44" t="n">
        <v>0</v>
      </c>
    </row>
    <row r="20" customFormat="false" ht="15" hidden="false" customHeight="true" outlineLevel="0" collapsed="false">
      <c r="A20" s="14" t="s">
        <v>190</v>
      </c>
      <c r="C20" s="44" t="n">
        <v>0.7777</v>
      </c>
      <c r="D20" s="44" t="n">
        <v>0.8866</v>
      </c>
      <c r="E20" s="44" t="n">
        <v>1.0107</v>
      </c>
      <c r="F20" s="44" t="n">
        <v>1.1523</v>
      </c>
      <c r="G20" s="44" t="n">
        <v>1.3136</v>
      </c>
      <c r="H20" s="44" t="n">
        <v>1.4975</v>
      </c>
      <c r="I20" s="44" t="n">
        <v>1.7071</v>
      </c>
      <c r="J20" s="44" t="n">
        <v>1.9461</v>
      </c>
      <c r="K20" s="44" t="n">
        <v>2.2186</v>
      </c>
      <c r="L20" s="44" t="n">
        <v>0</v>
      </c>
      <c r="M20" s="44" t="n">
        <v>0</v>
      </c>
      <c r="N20" s="44" t="n">
        <v>0</v>
      </c>
      <c r="O20" s="44" t="n">
        <v>0</v>
      </c>
      <c r="P20" s="44" t="n">
        <v>0</v>
      </c>
      <c r="Q20" s="44" t="n">
        <v>0</v>
      </c>
      <c r="R20" s="44" t="n">
        <v>0</v>
      </c>
      <c r="S20" s="44" t="n">
        <v>0</v>
      </c>
      <c r="T20" s="44" t="n">
        <v>0</v>
      </c>
      <c r="U20" s="44" t="n">
        <v>0</v>
      </c>
      <c r="V20" s="44" t="n">
        <v>0</v>
      </c>
      <c r="W20" s="44" t="n">
        <v>0</v>
      </c>
      <c r="X20" s="44" t="n">
        <v>0</v>
      </c>
      <c r="Y20" s="44" t="n">
        <v>0</v>
      </c>
    </row>
    <row r="22" customFormat="false" ht="15" hidden="false" customHeight="true" outlineLevel="0" collapsed="false">
      <c r="A22" s="43" t="s">
        <v>79</v>
      </c>
      <c r="B22" s="6"/>
      <c r="C22" s="6"/>
      <c r="D22" s="6"/>
      <c r="E22" s="6"/>
      <c r="F22" s="6"/>
      <c r="G22" s="6"/>
      <c r="H22" s="6"/>
      <c r="I22" s="6"/>
      <c r="J22" s="6"/>
      <c r="K22" s="6"/>
      <c r="L22" s="6"/>
      <c r="M22" s="6"/>
      <c r="N22" s="6"/>
      <c r="O22" s="6"/>
      <c r="P22" s="6"/>
      <c r="Q22" s="6"/>
      <c r="R22" s="6"/>
      <c r="S22" s="6"/>
      <c r="T22" s="6"/>
      <c r="U22" s="6"/>
      <c r="V22" s="6"/>
      <c r="W22" s="6"/>
      <c r="X22" s="6"/>
      <c r="Y22" s="6"/>
    </row>
    <row r="23" customFormat="false" ht="15" hidden="false" customHeight="true" outlineLevel="0" collapsed="false">
      <c r="A23" s="14" t="s">
        <v>183</v>
      </c>
      <c r="C23" s="44" t="n">
        <v>3.4372</v>
      </c>
      <c r="D23" s="44" t="n">
        <v>3.9184</v>
      </c>
      <c r="E23" s="44" t="n">
        <v>4.4669</v>
      </c>
      <c r="F23" s="44" t="n">
        <v>5.0923</v>
      </c>
      <c r="G23" s="44" t="n">
        <v>5.8052</v>
      </c>
      <c r="H23" s="44" t="n">
        <v>0</v>
      </c>
      <c r="I23" s="44" t="n">
        <v>0</v>
      </c>
      <c r="J23" s="44" t="n">
        <v>0</v>
      </c>
      <c r="K23" s="44" t="n">
        <v>0</v>
      </c>
      <c r="L23" s="44" t="n">
        <v>0</v>
      </c>
      <c r="M23" s="44" t="n">
        <v>0</v>
      </c>
      <c r="N23" s="44" t="n">
        <v>0</v>
      </c>
      <c r="O23" s="44" t="n">
        <v>0</v>
      </c>
      <c r="P23" s="44" t="n">
        <v>0</v>
      </c>
      <c r="Q23" s="44" t="n">
        <v>0</v>
      </c>
      <c r="R23" s="44" t="n">
        <v>0</v>
      </c>
      <c r="S23" s="44" t="n">
        <v>0</v>
      </c>
      <c r="T23" s="44" t="n">
        <v>0</v>
      </c>
      <c r="U23" s="44" t="n">
        <v>0</v>
      </c>
      <c r="V23" s="44" t="n">
        <v>0</v>
      </c>
      <c r="W23" s="44" t="n">
        <v>0</v>
      </c>
      <c r="X23" s="44" t="n">
        <v>0</v>
      </c>
      <c r="Y23" s="44" t="n">
        <v>0</v>
      </c>
    </row>
    <row r="24" customFormat="false" ht="15" hidden="false" customHeight="true" outlineLevel="0" collapsed="false">
      <c r="A24" s="14" t="s">
        <v>184</v>
      </c>
      <c r="C24" s="44" t="n">
        <v>0.3437</v>
      </c>
      <c r="D24" s="44" t="n">
        <v>0.7012</v>
      </c>
      <c r="E24" s="44" t="n">
        <v>1.1087</v>
      </c>
      <c r="F24" s="44" t="n">
        <v>1.5732</v>
      </c>
      <c r="G24" s="44" t="n">
        <v>2.1028</v>
      </c>
      <c r="H24" s="44" t="n">
        <v>2.0448</v>
      </c>
      <c r="I24" s="44" t="n">
        <v>2.1221</v>
      </c>
      <c r="J24" s="44" t="n">
        <v>2.2103</v>
      </c>
      <c r="K24" s="44" t="n">
        <v>2.3108</v>
      </c>
      <c r="L24" s="44" t="n">
        <v>2.4254</v>
      </c>
      <c r="M24" s="44" t="n">
        <v>2.1693</v>
      </c>
      <c r="N24" s="44" t="n">
        <v>1.7285</v>
      </c>
      <c r="O24" s="44" t="n">
        <v>1.226</v>
      </c>
      <c r="P24" s="44" t="n">
        <v>0.6531</v>
      </c>
      <c r="Q24" s="44" t="n">
        <v>0</v>
      </c>
      <c r="R24" s="44" t="n">
        <v>0</v>
      </c>
      <c r="S24" s="44" t="n">
        <v>0</v>
      </c>
      <c r="T24" s="44" t="n">
        <v>0</v>
      </c>
      <c r="U24" s="44" t="n">
        <v>0</v>
      </c>
      <c r="V24" s="44" t="n">
        <v>0</v>
      </c>
      <c r="W24" s="44" t="n">
        <v>0</v>
      </c>
      <c r="X24" s="44" t="n">
        <v>0</v>
      </c>
      <c r="Y24" s="44" t="n">
        <v>0</v>
      </c>
    </row>
    <row r="25" customFormat="false" ht="15" hidden="false" customHeight="true" outlineLevel="0" collapsed="false">
      <c r="A25" s="14" t="s">
        <v>185</v>
      </c>
      <c r="C25" s="44" t="n">
        <v>0.6874</v>
      </c>
      <c r="D25" s="44" t="n">
        <v>1.4711</v>
      </c>
      <c r="E25" s="44" t="n">
        <v>2.3645</v>
      </c>
      <c r="F25" s="44" t="n">
        <v>3.3829</v>
      </c>
      <c r="G25" s="44" t="n">
        <v>4.544</v>
      </c>
      <c r="H25" s="44" t="n">
        <v>3.8566</v>
      </c>
      <c r="I25" s="44" t="n">
        <v>3.0729</v>
      </c>
      <c r="J25" s="44" t="n">
        <v>2.1795</v>
      </c>
      <c r="K25" s="44" t="n">
        <v>1.161</v>
      </c>
      <c r="L25" s="44" t="n">
        <v>0</v>
      </c>
      <c r="M25" s="44" t="n">
        <v>0</v>
      </c>
      <c r="N25" s="44" t="n">
        <v>0</v>
      </c>
      <c r="O25" s="44" t="n">
        <v>0</v>
      </c>
      <c r="P25" s="44" t="n">
        <v>0</v>
      </c>
      <c r="Q25" s="44" t="n">
        <v>0</v>
      </c>
      <c r="R25" s="44" t="n">
        <v>0</v>
      </c>
      <c r="S25" s="44" t="n">
        <v>0</v>
      </c>
      <c r="T25" s="44" t="n">
        <v>0</v>
      </c>
      <c r="U25" s="44" t="n">
        <v>0</v>
      </c>
      <c r="V25" s="44" t="n">
        <v>0</v>
      </c>
      <c r="W25" s="44" t="n">
        <v>0</v>
      </c>
      <c r="X25" s="44" t="n">
        <v>0</v>
      </c>
      <c r="Y25" s="44" t="n">
        <v>0</v>
      </c>
    </row>
    <row r="26" customFormat="false" ht="15" hidden="false" customHeight="true" outlineLevel="0" collapsed="false">
      <c r="A26" s="14" t="s">
        <v>186</v>
      </c>
      <c r="C26" s="44" t="n">
        <v>0.336</v>
      </c>
      <c r="D26" s="44" t="n">
        <v>0.719</v>
      </c>
      <c r="E26" s="44" t="n">
        <v>1.1556</v>
      </c>
      <c r="F26" s="44" t="n">
        <v>1.6533</v>
      </c>
      <c r="G26" s="44" t="n">
        <v>2.2208</v>
      </c>
      <c r="H26" s="44" t="n">
        <v>1.8848</v>
      </c>
      <c r="I26" s="44" t="n">
        <v>1.5018</v>
      </c>
      <c r="J26" s="44" t="n">
        <v>1.0652</v>
      </c>
      <c r="K26" s="44" t="n">
        <v>0.5674</v>
      </c>
      <c r="L26" s="44" t="n">
        <v>0</v>
      </c>
      <c r="M26" s="44" t="n">
        <v>0</v>
      </c>
      <c r="N26" s="44" t="n">
        <v>0</v>
      </c>
      <c r="O26" s="44" t="n">
        <v>0</v>
      </c>
      <c r="P26" s="44" t="n">
        <v>0</v>
      </c>
      <c r="Q26" s="44" t="n">
        <v>0</v>
      </c>
      <c r="R26" s="44" t="n">
        <v>0</v>
      </c>
      <c r="S26" s="44" t="n">
        <v>0</v>
      </c>
      <c r="T26" s="44" t="n">
        <v>0</v>
      </c>
      <c r="U26" s="44" t="n">
        <v>0</v>
      </c>
      <c r="V26" s="44" t="n">
        <v>0</v>
      </c>
      <c r="W26" s="44" t="n">
        <v>0</v>
      </c>
      <c r="X26" s="44" t="n">
        <v>0</v>
      </c>
      <c r="Y26" s="44" t="n">
        <v>0</v>
      </c>
    </row>
    <row r="27" customFormat="false" ht="15" hidden="false" customHeight="true" outlineLevel="0" collapsed="false">
      <c r="A27" s="14" t="s">
        <v>187</v>
      </c>
      <c r="C27" s="44" t="n">
        <v>0.2604</v>
      </c>
      <c r="D27" s="44" t="n">
        <v>0.5572</v>
      </c>
      <c r="E27" s="44" t="n">
        <v>0.8956</v>
      </c>
      <c r="F27" s="44" t="n">
        <v>1.2813</v>
      </c>
      <c r="G27" s="44" t="n">
        <v>1.721</v>
      </c>
      <c r="H27" s="44" t="n">
        <v>1.4607</v>
      </c>
      <c r="I27" s="44" t="n">
        <v>1.1639</v>
      </c>
      <c r="J27" s="44" t="n">
        <v>0.8255</v>
      </c>
      <c r="K27" s="44" t="n">
        <v>0.4397</v>
      </c>
      <c r="L27" s="44" t="n">
        <v>0</v>
      </c>
      <c r="M27" s="44" t="n">
        <v>0</v>
      </c>
      <c r="N27" s="44" t="n">
        <v>0</v>
      </c>
      <c r="O27" s="44" t="n">
        <v>0</v>
      </c>
      <c r="P27" s="44" t="n">
        <v>0</v>
      </c>
      <c r="Q27" s="44" t="n">
        <v>0</v>
      </c>
      <c r="R27" s="44" t="n">
        <v>0</v>
      </c>
      <c r="S27" s="44" t="n">
        <v>0</v>
      </c>
      <c r="T27" s="44" t="n">
        <v>0</v>
      </c>
      <c r="U27" s="44" t="n">
        <v>0</v>
      </c>
      <c r="V27" s="44" t="n">
        <v>0</v>
      </c>
      <c r="W27" s="44" t="n">
        <v>0</v>
      </c>
      <c r="X27" s="44" t="n">
        <v>0</v>
      </c>
      <c r="Y27" s="44" t="n">
        <v>0</v>
      </c>
    </row>
    <row r="28" customFormat="false" ht="15" hidden="false" customHeight="true" outlineLevel="0" collapsed="false">
      <c r="A28" s="14" t="s">
        <v>188</v>
      </c>
      <c r="C28" s="44" t="n">
        <v>0</v>
      </c>
      <c r="D28" s="44" t="n">
        <v>0</v>
      </c>
      <c r="E28" s="44" t="n">
        <v>0</v>
      </c>
      <c r="F28" s="44" t="n">
        <v>0</v>
      </c>
      <c r="G28" s="44" t="n">
        <v>0</v>
      </c>
      <c r="H28" s="44" t="n">
        <v>0</v>
      </c>
      <c r="I28" s="44" t="n">
        <v>0</v>
      </c>
      <c r="J28" s="44" t="n">
        <v>0</v>
      </c>
      <c r="K28" s="44" t="n">
        <v>0</v>
      </c>
      <c r="L28" s="44" t="n">
        <v>0</v>
      </c>
      <c r="M28" s="44" t="n">
        <v>0</v>
      </c>
      <c r="N28" s="44" t="n">
        <v>0</v>
      </c>
      <c r="O28" s="44" t="n">
        <v>0</v>
      </c>
      <c r="P28" s="44" t="n">
        <v>0</v>
      </c>
      <c r="Q28" s="44" t="n">
        <v>0</v>
      </c>
      <c r="R28" s="44" t="n">
        <v>0</v>
      </c>
      <c r="S28" s="44" t="n">
        <v>0</v>
      </c>
      <c r="T28" s="44" t="n">
        <v>0</v>
      </c>
      <c r="U28" s="44" t="n">
        <v>0</v>
      </c>
      <c r="V28" s="44" t="n">
        <v>0</v>
      </c>
      <c r="W28" s="44" t="n">
        <v>0</v>
      </c>
      <c r="X28" s="44" t="n">
        <v>0</v>
      </c>
      <c r="Y28" s="44" t="n">
        <v>0</v>
      </c>
    </row>
    <row r="29" customFormat="false" ht="15" hidden="false" customHeight="true" outlineLevel="0" collapsed="false">
      <c r="A29" s="14" t="s">
        <v>190</v>
      </c>
      <c r="C29" s="44" t="n">
        <v>0.2406</v>
      </c>
      <c r="D29" s="44" t="n">
        <v>0.2743</v>
      </c>
      <c r="E29" s="44" t="n">
        <v>0.3127</v>
      </c>
      <c r="F29" s="44" t="n">
        <v>0.3565</v>
      </c>
      <c r="G29" s="44" t="n">
        <v>0.4064</v>
      </c>
      <c r="H29" s="44" t="n">
        <v>0</v>
      </c>
      <c r="I29" s="44" t="n">
        <v>0</v>
      </c>
      <c r="J29" s="44" t="n">
        <v>0</v>
      </c>
      <c r="K29" s="44" t="n">
        <v>0</v>
      </c>
      <c r="L29" s="44" t="n">
        <v>0</v>
      </c>
      <c r="M29" s="44" t="n">
        <v>0</v>
      </c>
      <c r="N29" s="44" t="n">
        <v>0</v>
      </c>
      <c r="O29" s="44" t="n">
        <v>0</v>
      </c>
      <c r="P29" s="44" t="n">
        <v>0</v>
      </c>
      <c r="Q29" s="44" t="n">
        <v>0</v>
      </c>
      <c r="R29" s="44" t="n">
        <v>0</v>
      </c>
      <c r="S29" s="44" t="n">
        <v>0</v>
      </c>
      <c r="T29" s="44" t="n">
        <v>0</v>
      </c>
      <c r="U29" s="44" t="n">
        <v>0</v>
      </c>
      <c r="V29" s="44" t="n">
        <v>0</v>
      </c>
      <c r="W29" s="44" t="n">
        <v>0</v>
      </c>
      <c r="X29" s="44" t="n">
        <v>0</v>
      </c>
      <c r="Y29" s="44" t="n">
        <v>0</v>
      </c>
    </row>
    <row r="31" customFormat="false" ht="15" hidden="false" customHeight="true" outlineLevel="0" collapsed="false">
      <c r="A31" s="43" t="s">
        <v>80</v>
      </c>
      <c r="B31" s="6"/>
      <c r="C31" s="6"/>
      <c r="D31" s="6"/>
      <c r="E31" s="6"/>
      <c r="F31" s="6"/>
      <c r="G31" s="6"/>
      <c r="H31" s="6"/>
      <c r="I31" s="6"/>
      <c r="J31" s="6"/>
      <c r="K31" s="6"/>
      <c r="L31" s="6"/>
      <c r="M31" s="6"/>
      <c r="N31" s="6"/>
      <c r="O31" s="6"/>
      <c r="P31" s="6"/>
      <c r="Q31" s="6"/>
      <c r="R31" s="6"/>
      <c r="S31" s="6"/>
      <c r="T31" s="6"/>
      <c r="U31" s="6"/>
      <c r="V31" s="6"/>
      <c r="W31" s="6"/>
      <c r="X31" s="6"/>
      <c r="Y31" s="6"/>
    </row>
    <row r="32" customFormat="false" ht="15" hidden="false" customHeight="true" outlineLevel="0" collapsed="false">
      <c r="A32" s="14" t="s">
        <v>183</v>
      </c>
      <c r="C32" s="44" t="n">
        <v>0</v>
      </c>
      <c r="D32" s="44" t="n">
        <v>8.0088</v>
      </c>
      <c r="E32" s="44" t="n">
        <v>9.13</v>
      </c>
      <c r="F32" s="44" t="n">
        <v>10.4082</v>
      </c>
      <c r="G32" s="44" t="n">
        <v>11.8654</v>
      </c>
      <c r="H32" s="44" t="n">
        <v>13.5265</v>
      </c>
      <c r="I32" s="44" t="n">
        <v>15.4202</v>
      </c>
      <c r="J32" s="44" t="n">
        <v>17.5791</v>
      </c>
      <c r="K32" s="44" t="n">
        <v>20.0401</v>
      </c>
      <c r="L32" s="44" t="n">
        <v>0</v>
      </c>
      <c r="M32" s="44" t="n">
        <v>0</v>
      </c>
      <c r="N32" s="44" t="n">
        <v>0</v>
      </c>
      <c r="O32" s="44" t="n">
        <v>0</v>
      </c>
      <c r="P32" s="44" t="n">
        <v>0</v>
      </c>
      <c r="Q32" s="44" t="n">
        <v>0</v>
      </c>
      <c r="R32" s="44" t="n">
        <v>0</v>
      </c>
      <c r="S32" s="44" t="n">
        <v>0</v>
      </c>
      <c r="T32" s="44" t="n">
        <v>0</v>
      </c>
      <c r="U32" s="44" t="n">
        <v>0</v>
      </c>
      <c r="V32" s="44" t="n">
        <v>0</v>
      </c>
      <c r="W32" s="44" t="n">
        <v>0</v>
      </c>
      <c r="X32" s="44" t="n">
        <v>0</v>
      </c>
      <c r="Y32" s="44" t="n">
        <v>0</v>
      </c>
    </row>
    <row r="33" customFormat="false" ht="15" hidden="false" customHeight="true" outlineLevel="0" collapsed="false">
      <c r="A33" s="14" t="s">
        <v>184</v>
      </c>
      <c r="C33" s="44" t="n">
        <v>0</v>
      </c>
      <c r="D33" s="44" t="n">
        <v>0.8009</v>
      </c>
      <c r="E33" s="44" t="n">
        <v>1.3635</v>
      </c>
      <c r="F33" s="44" t="n">
        <v>2.0049</v>
      </c>
      <c r="G33" s="44" t="n">
        <v>2.7361</v>
      </c>
      <c r="H33" s="44" t="n">
        <v>3.5696</v>
      </c>
      <c r="I33" s="44" t="n">
        <v>4.5198</v>
      </c>
      <c r="J33" s="44" t="n">
        <v>5.6031</v>
      </c>
      <c r="K33" s="44" t="n">
        <v>6.838</v>
      </c>
      <c r="L33" s="44" t="n">
        <v>5.9613</v>
      </c>
      <c r="M33" s="44" t="n">
        <v>6.4118</v>
      </c>
      <c r="N33" s="44" t="n">
        <v>6.9253</v>
      </c>
      <c r="O33" s="44" t="n">
        <v>7.5108</v>
      </c>
      <c r="P33" s="44" t="n">
        <v>8.1782</v>
      </c>
      <c r="Q33" s="44" t="n">
        <v>8.0381</v>
      </c>
      <c r="R33" s="44" t="n">
        <v>7.8784</v>
      </c>
      <c r="S33" s="44" t="n">
        <v>7.6963</v>
      </c>
      <c r="T33" s="44" t="n">
        <v>7.4887</v>
      </c>
      <c r="U33" s="44" t="n">
        <v>5.9669</v>
      </c>
      <c r="V33" s="44" t="n">
        <v>4.2322</v>
      </c>
      <c r="W33" s="44" t="n">
        <v>2.2545</v>
      </c>
      <c r="X33" s="44" t="n">
        <v>0</v>
      </c>
      <c r="Y33" s="44" t="n">
        <v>0</v>
      </c>
    </row>
    <row r="34" customFormat="false" ht="15" hidden="false" customHeight="true" outlineLevel="0" collapsed="false">
      <c r="A34" s="14" t="s">
        <v>185</v>
      </c>
      <c r="C34" s="44" t="n">
        <v>0</v>
      </c>
      <c r="D34" s="44" t="n">
        <v>1.0011</v>
      </c>
      <c r="E34" s="44" t="n">
        <v>2.1423</v>
      </c>
      <c r="F34" s="44" t="n">
        <v>3.4434</v>
      </c>
      <c r="G34" s="44" t="n">
        <v>4.9265</v>
      </c>
      <c r="H34" s="44" t="n">
        <v>6.6174</v>
      </c>
      <c r="I34" s="44" t="n">
        <v>8.5449</v>
      </c>
      <c r="J34" s="44" t="n">
        <v>10.7423</v>
      </c>
      <c r="K34" s="44" t="n">
        <v>13.2473</v>
      </c>
      <c r="L34" s="44" t="n">
        <v>12.2462</v>
      </c>
      <c r="M34" s="44" t="n">
        <v>11.1049</v>
      </c>
      <c r="N34" s="44" t="n">
        <v>9.8039</v>
      </c>
      <c r="O34" s="44" t="n">
        <v>8.3207</v>
      </c>
      <c r="P34" s="44" t="n">
        <v>6.6299</v>
      </c>
      <c r="Q34" s="44" t="n">
        <v>4.7024</v>
      </c>
      <c r="R34" s="44" t="n">
        <v>2.505</v>
      </c>
      <c r="S34" s="44" t="n">
        <v>0</v>
      </c>
      <c r="T34" s="44" t="n">
        <v>0</v>
      </c>
      <c r="U34" s="44" t="n">
        <v>0</v>
      </c>
      <c r="V34" s="44" t="n">
        <v>0</v>
      </c>
      <c r="W34" s="44" t="n">
        <v>0</v>
      </c>
      <c r="X34" s="44" t="n">
        <v>0</v>
      </c>
      <c r="Y34" s="44" t="n">
        <v>0</v>
      </c>
    </row>
    <row r="35" customFormat="false" ht="15" hidden="false" customHeight="true" outlineLevel="0" collapsed="false">
      <c r="A35" s="14" t="s">
        <v>186</v>
      </c>
      <c r="C35" s="44" t="n">
        <v>0</v>
      </c>
      <c r="D35" s="44" t="n">
        <v>0.5598</v>
      </c>
      <c r="E35" s="44" t="n">
        <v>1.1981</v>
      </c>
      <c r="F35" s="44" t="n">
        <v>1.9256</v>
      </c>
      <c r="G35" s="44" t="n">
        <v>2.7551</v>
      </c>
      <c r="H35" s="44" t="n">
        <v>3.7006</v>
      </c>
      <c r="I35" s="44" t="n">
        <v>4.7785</v>
      </c>
      <c r="J35" s="44" t="n">
        <v>6.0074</v>
      </c>
      <c r="K35" s="44" t="n">
        <v>7.4082</v>
      </c>
      <c r="L35" s="44" t="n">
        <v>6.8484</v>
      </c>
      <c r="M35" s="44" t="n">
        <v>6.2102</v>
      </c>
      <c r="N35" s="44" t="n">
        <v>5.4826</v>
      </c>
      <c r="O35" s="44" t="n">
        <v>4.6532</v>
      </c>
      <c r="P35" s="44" t="n">
        <v>3.7076</v>
      </c>
      <c r="Q35" s="44" t="n">
        <v>2.6297</v>
      </c>
      <c r="R35" s="44" t="n">
        <v>1.4009</v>
      </c>
      <c r="S35" s="44" t="n">
        <v>0</v>
      </c>
      <c r="T35" s="44" t="n">
        <v>0</v>
      </c>
      <c r="U35" s="44" t="n">
        <v>0</v>
      </c>
      <c r="V35" s="44" t="n">
        <v>0</v>
      </c>
      <c r="W35" s="44" t="n">
        <v>0</v>
      </c>
      <c r="X35" s="44" t="n">
        <v>0</v>
      </c>
      <c r="Y35" s="44" t="n">
        <v>0</v>
      </c>
    </row>
    <row r="36" customFormat="false" ht="15" hidden="false" customHeight="true" outlineLevel="0" collapsed="false">
      <c r="A36" s="14" t="s">
        <v>187</v>
      </c>
      <c r="C36" s="44" t="n">
        <v>0</v>
      </c>
      <c r="D36" s="44" t="n">
        <v>0.3176</v>
      </c>
      <c r="E36" s="44" t="n">
        <v>0.6796</v>
      </c>
      <c r="F36" s="44" t="n">
        <v>1.0924</v>
      </c>
      <c r="G36" s="44" t="n">
        <v>1.5629</v>
      </c>
      <c r="H36" s="44" t="n">
        <v>2.0993</v>
      </c>
      <c r="I36" s="44" t="n">
        <v>2.7108</v>
      </c>
      <c r="J36" s="44" t="n">
        <v>3.4079</v>
      </c>
      <c r="K36" s="44" t="n">
        <v>4.2026</v>
      </c>
      <c r="L36" s="44" t="n">
        <v>3.885</v>
      </c>
      <c r="M36" s="44" t="n">
        <v>3.5229</v>
      </c>
      <c r="N36" s="44" t="n">
        <v>3.1102</v>
      </c>
      <c r="O36" s="44" t="n">
        <v>2.6397</v>
      </c>
      <c r="P36" s="44" t="n">
        <v>2.1033</v>
      </c>
      <c r="Q36" s="44" t="n">
        <v>1.4918</v>
      </c>
      <c r="R36" s="44" t="n">
        <v>0.7947</v>
      </c>
      <c r="S36" s="44" t="n">
        <v>0</v>
      </c>
      <c r="T36" s="44" t="n">
        <v>0</v>
      </c>
      <c r="U36" s="44" t="n">
        <v>0</v>
      </c>
      <c r="V36" s="44" t="n">
        <v>0</v>
      </c>
      <c r="W36" s="44" t="n">
        <v>0</v>
      </c>
      <c r="X36" s="44" t="n">
        <v>0</v>
      </c>
      <c r="Y36" s="44" t="n">
        <v>0</v>
      </c>
    </row>
    <row r="37" customFormat="false" ht="15" hidden="false" customHeight="true" outlineLevel="0" collapsed="false">
      <c r="A37" s="14" t="s">
        <v>188</v>
      </c>
      <c r="C37" s="44" t="n">
        <v>0</v>
      </c>
      <c r="D37" s="44" t="n">
        <v>0</v>
      </c>
      <c r="E37" s="44" t="n">
        <v>0</v>
      </c>
      <c r="F37" s="44" t="n">
        <v>0</v>
      </c>
      <c r="G37" s="44" t="n">
        <v>0</v>
      </c>
      <c r="H37" s="44" t="n">
        <v>0</v>
      </c>
      <c r="I37" s="44" t="n">
        <v>0</v>
      </c>
      <c r="J37" s="44" t="n">
        <v>0</v>
      </c>
      <c r="K37" s="44" t="n">
        <v>0</v>
      </c>
      <c r="L37" s="44" t="n">
        <v>0</v>
      </c>
      <c r="M37" s="44" t="n">
        <v>0</v>
      </c>
      <c r="N37" s="44" t="n">
        <v>0</v>
      </c>
      <c r="O37" s="44" t="n">
        <v>0</v>
      </c>
      <c r="P37" s="44" t="n">
        <v>0</v>
      </c>
      <c r="Q37" s="44" t="n">
        <v>0</v>
      </c>
      <c r="R37" s="44" t="n">
        <v>0</v>
      </c>
      <c r="S37" s="44" t="n">
        <v>0</v>
      </c>
      <c r="T37" s="44" t="n">
        <v>0</v>
      </c>
      <c r="U37" s="44" t="n">
        <v>0</v>
      </c>
      <c r="V37" s="44" t="n">
        <v>0</v>
      </c>
      <c r="W37" s="44" t="n">
        <v>0</v>
      </c>
      <c r="X37" s="44" t="n">
        <v>0</v>
      </c>
      <c r="Y37" s="44" t="n">
        <v>0</v>
      </c>
    </row>
    <row r="38" customFormat="false" ht="15" hidden="false" customHeight="true" outlineLevel="0" collapsed="false">
      <c r="A38" s="14" t="s">
        <v>190</v>
      </c>
      <c r="C38" s="44" t="n">
        <v>0</v>
      </c>
      <c r="D38" s="44" t="n">
        <v>0.4805</v>
      </c>
      <c r="E38" s="44" t="n">
        <v>0.5478</v>
      </c>
      <c r="F38" s="44" t="n">
        <v>0.6245</v>
      </c>
      <c r="G38" s="44" t="n">
        <v>0.7119</v>
      </c>
      <c r="H38" s="44" t="n">
        <v>0.8116</v>
      </c>
      <c r="I38" s="44" t="n">
        <v>0.9252</v>
      </c>
      <c r="J38" s="44" t="n">
        <v>1.0547</v>
      </c>
      <c r="K38" s="44" t="n">
        <v>1.2024</v>
      </c>
      <c r="L38" s="44" t="n">
        <v>0</v>
      </c>
      <c r="M38" s="44" t="n">
        <v>0</v>
      </c>
      <c r="N38" s="44" t="n">
        <v>0</v>
      </c>
      <c r="O38" s="44" t="n">
        <v>0</v>
      </c>
      <c r="P38" s="44" t="n">
        <v>0</v>
      </c>
      <c r="Q38" s="44" t="n">
        <v>0</v>
      </c>
      <c r="R38" s="44" t="n">
        <v>0</v>
      </c>
      <c r="S38" s="44" t="n">
        <v>0</v>
      </c>
      <c r="T38" s="44" t="n">
        <v>0</v>
      </c>
      <c r="U38" s="44" t="n">
        <v>0</v>
      </c>
      <c r="V38" s="44" t="n">
        <v>0</v>
      </c>
      <c r="W38" s="44" t="n">
        <v>0</v>
      </c>
      <c r="X38" s="44" t="n">
        <v>0</v>
      </c>
      <c r="Y38" s="44" t="n">
        <v>0</v>
      </c>
    </row>
    <row r="40" customFormat="false" ht="15" hidden="false" customHeight="true" outlineLevel="0" collapsed="false">
      <c r="A40" s="43" t="s">
        <v>82</v>
      </c>
      <c r="B40" s="6"/>
      <c r="C40" s="6"/>
      <c r="D40" s="6"/>
      <c r="E40" s="6"/>
      <c r="F40" s="6"/>
      <c r="G40" s="6"/>
      <c r="H40" s="6"/>
      <c r="I40" s="6"/>
      <c r="J40" s="6"/>
      <c r="K40" s="6"/>
      <c r="L40" s="6"/>
      <c r="M40" s="6"/>
      <c r="N40" s="6"/>
      <c r="O40" s="6"/>
      <c r="P40" s="6"/>
      <c r="Q40" s="6"/>
      <c r="R40" s="6"/>
      <c r="S40" s="6"/>
      <c r="T40" s="6"/>
      <c r="U40" s="6"/>
      <c r="V40" s="6"/>
      <c r="W40" s="6"/>
      <c r="X40" s="6"/>
      <c r="Y40" s="6"/>
    </row>
    <row r="41" customFormat="false" ht="15" hidden="false" customHeight="true" outlineLevel="0" collapsed="false">
      <c r="A41" s="14" t="s">
        <v>183</v>
      </c>
      <c r="C41" s="44" t="n">
        <v>3.3415</v>
      </c>
      <c r="D41" s="44" t="n">
        <v>3.8093</v>
      </c>
      <c r="E41" s="44" t="n">
        <v>4.3426</v>
      </c>
      <c r="F41" s="44" t="n">
        <v>4.9506</v>
      </c>
      <c r="G41" s="44" t="n">
        <v>5.6437</v>
      </c>
      <c r="H41" s="44" t="n">
        <v>0</v>
      </c>
      <c r="I41" s="44" t="n">
        <v>0</v>
      </c>
      <c r="J41" s="44" t="n">
        <v>0</v>
      </c>
      <c r="K41" s="44" t="n">
        <v>0</v>
      </c>
      <c r="L41" s="44" t="n">
        <v>0</v>
      </c>
      <c r="M41" s="44" t="n">
        <v>0</v>
      </c>
      <c r="N41" s="44" t="n">
        <v>0</v>
      </c>
      <c r="O41" s="44" t="n">
        <v>0</v>
      </c>
      <c r="P41" s="44" t="n">
        <v>0</v>
      </c>
      <c r="Q41" s="44" t="n">
        <v>0</v>
      </c>
      <c r="R41" s="44" t="n">
        <v>0</v>
      </c>
      <c r="S41" s="44" t="n">
        <v>0</v>
      </c>
      <c r="T41" s="44" t="n">
        <v>0</v>
      </c>
      <c r="U41" s="44" t="n">
        <v>0</v>
      </c>
      <c r="V41" s="44" t="n">
        <v>0</v>
      </c>
      <c r="W41" s="44" t="n">
        <v>0</v>
      </c>
      <c r="X41" s="44" t="n">
        <v>0</v>
      </c>
      <c r="Y41" s="44" t="n">
        <v>0</v>
      </c>
    </row>
    <row r="42" customFormat="false" ht="15" hidden="false" customHeight="true" outlineLevel="0" collapsed="false">
      <c r="A42" s="14" t="s">
        <v>184</v>
      </c>
      <c r="C42" s="44" t="n">
        <v>0.3342</v>
      </c>
      <c r="D42" s="44" t="n">
        <v>0.6817</v>
      </c>
      <c r="E42" s="44" t="n">
        <v>1.0778</v>
      </c>
      <c r="F42" s="44" t="n">
        <v>1.5295</v>
      </c>
      <c r="G42" s="44" t="n">
        <v>2.0443</v>
      </c>
      <c r="H42" s="44" t="n">
        <v>1.9879</v>
      </c>
      <c r="I42" s="44" t="n">
        <v>2.0631</v>
      </c>
      <c r="J42" s="44" t="n">
        <v>2.1488</v>
      </c>
      <c r="K42" s="44" t="n">
        <v>2.2465</v>
      </c>
      <c r="L42" s="44" t="n">
        <v>2.3579</v>
      </c>
      <c r="M42" s="44" t="n">
        <v>2.109</v>
      </c>
      <c r="N42" s="44" t="n">
        <v>1.6804</v>
      </c>
      <c r="O42" s="44" t="n">
        <v>1.1919</v>
      </c>
      <c r="P42" s="44" t="n">
        <v>0.6349</v>
      </c>
      <c r="Q42" s="44" t="n">
        <v>0</v>
      </c>
      <c r="R42" s="44" t="n">
        <v>0</v>
      </c>
      <c r="S42" s="44" t="n">
        <v>0</v>
      </c>
      <c r="T42" s="44" t="n">
        <v>0</v>
      </c>
      <c r="U42" s="44" t="n">
        <v>0</v>
      </c>
      <c r="V42" s="44" t="n">
        <v>0</v>
      </c>
      <c r="W42" s="44" t="n">
        <v>0</v>
      </c>
      <c r="X42" s="44" t="n">
        <v>0</v>
      </c>
      <c r="Y42" s="44" t="n">
        <v>0</v>
      </c>
    </row>
    <row r="43" customFormat="false" ht="15" hidden="false" customHeight="true" outlineLevel="0" collapsed="false">
      <c r="A43" s="14" t="s">
        <v>185</v>
      </c>
      <c r="C43" s="44" t="n">
        <v>0.6683</v>
      </c>
      <c r="D43" s="44" t="n">
        <v>1.4302</v>
      </c>
      <c r="E43" s="44" t="n">
        <v>2.2987</v>
      </c>
      <c r="F43" s="44" t="n">
        <v>3.2888</v>
      </c>
      <c r="G43" s="44" t="n">
        <v>4.4176</v>
      </c>
      <c r="H43" s="44" t="n">
        <v>3.7493</v>
      </c>
      <c r="I43" s="44" t="n">
        <v>2.9874</v>
      </c>
      <c r="J43" s="44" t="n">
        <v>2.1189</v>
      </c>
      <c r="K43" s="44" t="n">
        <v>1.1287</v>
      </c>
      <c r="L43" s="44" t="n">
        <v>0</v>
      </c>
      <c r="M43" s="44" t="n">
        <v>0</v>
      </c>
      <c r="N43" s="44" t="n">
        <v>0</v>
      </c>
      <c r="O43" s="44" t="n">
        <v>0</v>
      </c>
      <c r="P43" s="44" t="n">
        <v>0</v>
      </c>
      <c r="Q43" s="44" t="n">
        <v>0</v>
      </c>
      <c r="R43" s="44" t="n">
        <v>0</v>
      </c>
      <c r="S43" s="44" t="n">
        <v>0</v>
      </c>
      <c r="T43" s="44" t="n">
        <v>0</v>
      </c>
      <c r="U43" s="44" t="n">
        <v>0</v>
      </c>
      <c r="V43" s="44" t="n">
        <v>0</v>
      </c>
      <c r="W43" s="44" t="n">
        <v>0</v>
      </c>
      <c r="X43" s="44" t="n">
        <v>0</v>
      </c>
      <c r="Y43" s="44" t="n">
        <v>0</v>
      </c>
    </row>
    <row r="44" customFormat="false" ht="15" hidden="false" customHeight="true" outlineLevel="0" collapsed="false">
      <c r="A44" s="14" t="s">
        <v>186</v>
      </c>
      <c r="C44" s="44" t="n">
        <v>0.3793</v>
      </c>
      <c r="D44" s="44" t="n">
        <v>0.8118</v>
      </c>
      <c r="E44" s="44" t="n">
        <v>1.3048</v>
      </c>
      <c r="F44" s="44" t="n">
        <v>1.8668</v>
      </c>
      <c r="G44" s="44" t="n">
        <v>2.5075</v>
      </c>
      <c r="H44" s="44" t="n">
        <v>2.1282</v>
      </c>
      <c r="I44" s="44" t="n">
        <v>1.6957</v>
      </c>
      <c r="J44" s="44" t="n">
        <v>1.2027</v>
      </c>
      <c r="K44" s="44" t="n">
        <v>0.6407</v>
      </c>
      <c r="L44" s="44" t="n">
        <v>0</v>
      </c>
      <c r="M44" s="44" t="n">
        <v>0</v>
      </c>
      <c r="N44" s="44" t="n">
        <v>0</v>
      </c>
      <c r="O44" s="44" t="n">
        <v>0</v>
      </c>
      <c r="P44" s="44" t="n">
        <v>0</v>
      </c>
      <c r="Q44" s="44" t="n">
        <v>0</v>
      </c>
      <c r="R44" s="44" t="n">
        <v>0</v>
      </c>
      <c r="S44" s="44" t="n">
        <v>0</v>
      </c>
      <c r="T44" s="44" t="n">
        <v>0</v>
      </c>
      <c r="U44" s="44" t="n">
        <v>0</v>
      </c>
      <c r="V44" s="44" t="n">
        <v>0</v>
      </c>
      <c r="W44" s="44" t="n">
        <v>0</v>
      </c>
      <c r="X44" s="44" t="n">
        <v>0</v>
      </c>
      <c r="Y44" s="44" t="n">
        <v>0</v>
      </c>
    </row>
    <row r="45" customFormat="false" ht="15" hidden="false" customHeight="true" outlineLevel="0" collapsed="false">
      <c r="A45" s="14" t="s">
        <v>187</v>
      </c>
      <c r="C45" s="44" t="n">
        <v>0.2449</v>
      </c>
      <c r="D45" s="44" t="n">
        <v>0.5242</v>
      </c>
      <c r="E45" s="44" t="n">
        <v>0.8425</v>
      </c>
      <c r="F45" s="44" t="n">
        <v>1.2054</v>
      </c>
      <c r="G45" s="44" t="n">
        <v>1.6191</v>
      </c>
      <c r="H45" s="44" t="n">
        <v>1.3742</v>
      </c>
      <c r="I45" s="44" t="n">
        <v>1.0949</v>
      </c>
      <c r="J45" s="44" t="n">
        <v>0.7766</v>
      </c>
      <c r="K45" s="44" t="n">
        <v>0.4137</v>
      </c>
      <c r="L45" s="44" t="n">
        <v>0</v>
      </c>
      <c r="M45" s="44" t="n">
        <v>0</v>
      </c>
      <c r="N45" s="44" t="n">
        <v>0</v>
      </c>
      <c r="O45" s="44" t="n">
        <v>0</v>
      </c>
      <c r="P45" s="44" t="n">
        <v>0</v>
      </c>
      <c r="Q45" s="44" t="n">
        <v>0</v>
      </c>
      <c r="R45" s="44" t="n">
        <v>0</v>
      </c>
      <c r="S45" s="44" t="n">
        <v>0</v>
      </c>
      <c r="T45" s="44" t="n">
        <v>0</v>
      </c>
      <c r="U45" s="44" t="n">
        <v>0</v>
      </c>
      <c r="V45" s="44" t="n">
        <v>0</v>
      </c>
      <c r="W45" s="44" t="n">
        <v>0</v>
      </c>
      <c r="X45" s="44" t="n">
        <v>0</v>
      </c>
      <c r="Y45" s="44" t="n">
        <v>0</v>
      </c>
    </row>
    <row r="46" customFormat="false" ht="15" hidden="false" customHeight="true" outlineLevel="0" collapsed="false">
      <c r="A46" s="14" t="s">
        <v>188</v>
      </c>
      <c r="C46" s="44" t="n">
        <v>0</v>
      </c>
      <c r="D46" s="44" t="n">
        <v>0</v>
      </c>
      <c r="E46" s="44" t="n">
        <v>0</v>
      </c>
      <c r="F46" s="44" t="n">
        <v>0</v>
      </c>
      <c r="G46" s="44" t="n">
        <v>0</v>
      </c>
      <c r="H46" s="44" t="n">
        <v>0</v>
      </c>
      <c r="I46" s="44" t="n">
        <v>0</v>
      </c>
      <c r="J46" s="44" t="n">
        <v>0</v>
      </c>
      <c r="K46" s="44" t="n">
        <v>0</v>
      </c>
      <c r="L46" s="44" t="n">
        <v>0</v>
      </c>
      <c r="M46" s="44" t="n">
        <v>0</v>
      </c>
      <c r="N46" s="44" t="n">
        <v>0</v>
      </c>
      <c r="O46" s="44" t="n">
        <v>0</v>
      </c>
      <c r="P46" s="44" t="n">
        <v>0</v>
      </c>
      <c r="Q46" s="44" t="n">
        <v>0</v>
      </c>
      <c r="R46" s="44" t="n">
        <v>0</v>
      </c>
      <c r="S46" s="44" t="n">
        <v>0</v>
      </c>
      <c r="T46" s="44" t="n">
        <v>0</v>
      </c>
      <c r="U46" s="44" t="n">
        <v>0</v>
      </c>
      <c r="V46" s="44" t="n">
        <v>0</v>
      </c>
      <c r="W46" s="44" t="n">
        <v>0</v>
      </c>
      <c r="X46" s="44" t="n">
        <v>0</v>
      </c>
      <c r="Y46" s="44" t="n">
        <v>0</v>
      </c>
    </row>
    <row r="47" customFormat="false" ht="15" hidden="false" customHeight="true" outlineLevel="0" collapsed="false">
      <c r="A47" s="14" t="s">
        <v>190</v>
      </c>
      <c r="C47" s="44" t="n">
        <v>0.2339</v>
      </c>
      <c r="D47" s="44" t="n">
        <v>0.2667</v>
      </c>
      <c r="E47" s="44" t="n">
        <v>0.304</v>
      </c>
      <c r="F47" s="44" t="n">
        <v>0.3465</v>
      </c>
      <c r="G47" s="44" t="n">
        <v>0.3951</v>
      </c>
      <c r="H47" s="44" t="n">
        <v>0</v>
      </c>
      <c r="I47" s="44" t="n">
        <v>0</v>
      </c>
      <c r="J47" s="44" t="n">
        <v>0</v>
      </c>
      <c r="K47" s="44" t="n">
        <v>0</v>
      </c>
      <c r="L47" s="44" t="n">
        <v>0</v>
      </c>
      <c r="M47" s="44" t="n">
        <v>0</v>
      </c>
      <c r="N47" s="44" t="n">
        <v>0</v>
      </c>
      <c r="O47" s="44" t="n">
        <v>0</v>
      </c>
      <c r="P47" s="44" t="n">
        <v>0</v>
      </c>
      <c r="Q47" s="44" t="n">
        <v>0</v>
      </c>
      <c r="R47" s="44" t="n">
        <v>0</v>
      </c>
      <c r="S47" s="44" t="n">
        <v>0</v>
      </c>
      <c r="T47" s="44" t="n">
        <v>0</v>
      </c>
      <c r="U47" s="44" t="n">
        <v>0</v>
      </c>
      <c r="V47" s="44" t="n">
        <v>0</v>
      </c>
      <c r="W47" s="44" t="n">
        <v>0</v>
      </c>
      <c r="X47" s="44" t="n">
        <v>0</v>
      </c>
      <c r="Y47" s="44" t="n">
        <v>0</v>
      </c>
    </row>
    <row r="49" customFormat="false" ht="15" hidden="false" customHeight="true" outlineLevel="0" collapsed="false">
      <c r="A49" s="43" t="s">
        <v>84</v>
      </c>
      <c r="B49" s="6"/>
      <c r="C49" s="6"/>
      <c r="D49" s="6"/>
      <c r="E49" s="6"/>
      <c r="F49" s="6"/>
      <c r="G49" s="6"/>
      <c r="H49" s="6"/>
      <c r="I49" s="6"/>
      <c r="J49" s="6"/>
      <c r="K49" s="6"/>
      <c r="L49" s="6"/>
      <c r="M49" s="6"/>
      <c r="N49" s="6"/>
      <c r="O49" s="6"/>
      <c r="P49" s="6"/>
      <c r="Q49" s="6"/>
      <c r="R49" s="6"/>
      <c r="S49" s="6"/>
      <c r="T49" s="6"/>
      <c r="U49" s="6"/>
      <c r="V49" s="6"/>
      <c r="W49" s="6"/>
      <c r="X49" s="6"/>
      <c r="Y49" s="6"/>
    </row>
    <row r="50" customFormat="false" ht="15" hidden="false" customHeight="true" outlineLevel="0" collapsed="false">
      <c r="A50" s="14" t="s">
        <v>183</v>
      </c>
      <c r="C50" s="44" t="n">
        <v>3.8523</v>
      </c>
      <c r="D50" s="44" t="n">
        <v>4.3916</v>
      </c>
      <c r="E50" s="44" t="n">
        <v>5.0064</v>
      </c>
      <c r="F50" s="44" t="n">
        <v>5.7073</v>
      </c>
      <c r="G50" s="44" t="n">
        <v>6.5063</v>
      </c>
      <c r="H50" s="44" t="n">
        <v>7.4172</v>
      </c>
      <c r="I50" s="44" t="n">
        <v>0</v>
      </c>
      <c r="J50" s="44" t="n">
        <v>0</v>
      </c>
      <c r="K50" s="44" t="n">
        <v>0</v>
      </c>
      <c r="L50" s="44" t="n">
        <v>0</v>
      </c>
      <c r="M50" s="44" t="n">
        <v>0</v>
      </c>
      <c r="N50" s="44" t="n">
        <v>0</v>
      </c>
      <c r="O50" s="44" t="n">
        <v>0</v>
      </c>
      <c r="P50" s="44" t="n">
        <v>0</v>
      </c>
      <c r="Q50" s="44" t="n">
        <v>0</v>
      </c>
      <c r="R50" s="44" t="n">
        <v>0</v>
      </c>
      <c r="S50" s="44" t="n">
        <v>0</v>
      </c>
      <c r="T50" s="44" t="n">
        <v>0</v>
      </c>
      <c r="U50" s="44" t="n">
        <v>0</v>
      </c>
      <c r="V50" s="44" t="n">
        <v>0</v>
      </c>
      <c r="W50" s="44" t="n">
        <v>0</v>
      </c>
      <c r="X50" s="44" t="n">
        <v>0</v>
      </c>
      <c r="Y50" s="44" t="n">
        <v>0</v>
      </c>
    </row>
    <row r="51" customFormat="false" ht="15" hidden="false" customHeight="true" outlineLevel="0" collapsed="false">
      <c r="A51" s="14" t="s">
        <v>184</v>
      </c>
      <c r="C51" s="44" t="n">
        <v>0.3852</v>
      </c>
      <c r="D51" s="44" t="n">
        <v>0.7281</v>
      </c>
      <c r="E51" s="44" t="n">
        <v>1.1189</v>
      </c>
      <c r="F51" s="44" t="n">
        <v>1.5645</v>
      </c>
      <c r="G51" s="44" t="n">
        <v>2.0724</v>
      </c>
      <c r="H51" s="44" t="n">
        <v>2.6515</v>
      </c>
      <c r="I51" s="44" t="n">
        <v>2.4661</v>
      </c>
      <c r="J51" s="44" t="n">
        <v>2.6105</v>
      </c>
      <c r="K51" s="44" t="n">
        <v>2.7752</v>
      </c>
      <c r="L51" s="44" t="n">
        <v>2.963</v>
      </c>
      <c r="M51" s="44" t="n">
        <v>3.177</v>
      </c>
      <c r="N51" s="44" t="n">
        <v>2.9876</v>
      </c>
      <c r="O51" s="44" t="n">
        <v>2.7717</v>
      </c>
      <c r="P51" s="44" t="n">
        <v>2.2085</v>
      </c>
      <c r="Q51" s="44" t="n">
        <v>1.5664</v>
      </c>
      <c r="R51" s="44" t="n">
        <v>0.8344</v>
      </c>
      <c r="S51" s="44" t="n">
        <v>0</v>
      </c>
      <c r="T51" s="44" t="n">
        <v>0</v>
      </c>
      <c r="U51" s="44" t="n">
        <v>0</v>
      </c>
      <c r="V51" s="44" t="n">
        <v>0</v>
      </c>
      <c r="W51" s="44" t="n">
        <v>0</v>
      </c>
      <c r="X51" s="44" t="n">
        <v>0</v>
      </c>
      <c r="Y51" s="44" t="n">
        <v>0</v>
      </c>
    </row>
    <row r="52" customFormat="false" ht="15" hidden="false" customHeight="true" outlineLevel="0" collapsed="false">
      <c r="A52" s="14" t="s">
        <v>185</v>
      </c>
      <c r="C52" s="44" t="n">
        <v>0.642</v>
      </c>
      <c r="D52" s="44" t="n">
        <v>1.374</v>
      </c>
      <c r="E52" s="44" t="n">
        <v>2.2084</v>
      </c>
      <c r="F52" s="44" t="n">
        <v>3.1596</v>
      </c>
      <c r="G52" s="44" t="n">
        <v>4.244</v>
      </c>
      <c r="H52" s="44" t="n">
        <v>5.4802</v>
      </c>
      <c r="I52" s="44" t="n">
        <v>4.8381</v>
      </c>
      <c r="J52" s="44" t="n">
        <v>4.1062</v>
      </c>
      <c r="K52" s="44" t="n">
        <v>3.2718</v>
      </c>
      <c r="L52" s="44" t="n">
        <v>2.3206</v>
      </c>
      <c r="M52" s="44" t="n">
        <v>1.2362</v>
      </c>
      <c r="N52" s="44" t="n">
        <v>0</v>
      </c>
      <c r="O52" s="44" t="n">
        <v>0</v>
      </c>
      <c r="P52" s="44" t="n">
        <v>0</v>
      </c>
      <c r="Q52" s="44" t="n">
        <v>0</v>
      </c>
      <c r="R52" s="44" t="n">
        <v>0</v>
      </c>
      <c r="S52" s="44" t="n">
        <v>0</v>
      </c>
      <c r="T52" s="44" t="n">
        <v>0</v>
      </c>
      <c r="U52" s="44" t="n">
        <v>0</v>
      </c>
      <c r="V52" s="44" t="n">
        <v>0</v>
      </c>
      <c r="W52" s="44" t="n">
        <v>0</v>
      </c>
      <c r="X52" s="44" t="n">
        <v>0</v>
      </c>
      <c r="Y52" s="44" t="n">
        <v>0</v>
      </c>
    </row>
    <row r="53" customFormat="false" ht="15" hidden="false" customHeight="true" outlineLevel="0" collapsed="false">
      <c r="A53" s="14" t="s">
        <v>186</v>
      </c>
      <c r="C53" s="44" t="n">
        <v>0.2894</v>
      </c>
      <c r="D53" s="44" t="n">
        <v>0.6192</v>
      </c>
      <c r="E53" s="44" t="n">
        <v>0.9953</v>
      </c>
      <c r="F53" s="44" t="n">
        <v>1.424</v>
      </c>
      <c r="G53" s="44" t="n">
        <v>1.9127</v>
      </c>
      <c r="H53" s="44" t="n">
        <v>2.4699</v>
      </c>
      <c r="I53" s="44" t="n">
        <v>2.1805</v>
      </c>
      <c r="J53" s="44" t="n">
        <v>1.8506</v>
      </c>
      <c r="K53" s="44" t="n">
        <v>1.4746</v>
      </c>
      <c r="L53" s="44" t="n">
        <v>1.0459</v>
      </c>
      <c r="M53" s="44" t="n">
        <v>0.5571</v>
      </c>
      <c r="N53" s="44" t="n">
        <v>0</v>
      </c>
      <c r="O53" s="44" t="n">
        <v>0</v>
      </c>
      <c r="P53" s="44" t="n">
        <v>0</v>
      </c>
      <c r="Q53" s="44" t="n">
        <v>0</v>
      </c>
      <c r="R53" s="44" t="n">
        <v>0</v>
      </c>
      <c r="S53" s="44" t="n">
        <v>0</v>
      </c>
      <c r="T53" s="44" t="n">
        <v>0</v>
      </c>
      <c r="U53" s="44" t="n">
        <v>0</v>
      </c>
      <c r="V53" s="44" t="n">
        <v>0</v>
      </c>
      <c r="W53" s="44" t="n">
        <v>0</v>
      </c>
      <c r="X53" s="44" t="n">
        <v>0</v>
      </c>
      <c r="Y53" s="44" t="n">
        <v>0</v>
      </c>
    </row>
    <row r="54" customFormat="false" ht="15" hidden="false" customHeight="true" outlineLevel="0" collapsed="false">
      <c r="A54" s="14" t="s">
        <v>187</v>
      </c>
      <c r="C54" s="44" t="n">
        <v>0.2262</v>
      </c>
      <c r="D54" s="44" t="n">
        <v>0.4842</v>
      </c>
      <c r="E54" s="44" t="n">
        <v>0.7782</v>
      </c>
      <c r="F54" s="44" t="n">
        <v>1.1134</v>
      </c>
      <c r="G54" s="44" t="n">
        <v>1.4955</v>
      </c>
      <c r="H54" s="44" t="n">
        <v>1.9311</v>
      </c>
      <c r="I54" s="44" t="n">
        <v>1.7048</v>
      </c>
      <c r="J54" s="44" t="n">
        <v>1.4469</v>
      </c>
      <c r="K54" s="44" t="n">
        <v>1.1529</v>
      </c>
      <c r="L54" s="44" t="n">
        <v>0.8177</v>
      </c>
      <c r="M54" s="44" t="n">
        <v>0.4356</v>
      </c>
      <c r="N54" s="44" t="n">
        <v>0</v>
      </c>
      <c r="O54" s="44" t="n">
        <v>0</v>
      </c>
      <c r="P54" s="44" t="n">
        <v>0</v>
      </c>
      <c r="Q54" s="44" t="n">
        <v>0</v>
      </c>
      <c r="R54" s="44" t="n">
        <v>0</v>
      </c>
      <c r="S54" s="44" t="n">
        <v>0</v>
      </c>
      <c r="T54" s="44" t="n">
        <v>0</v>
      </c>
      <c r="U54" s="44" t="n">
        <v>0</v>
      </c>
      <c r="V54" s="44" t="n">
        <v>0</v>
      </c>
      <c r="W54" s="44" t="n">
        <v>0</v>
      </c>
      <c r="X54" s="44" t="n">
        <v>0</v>
      </c>
      <c r="Y54" s="44" t="n">
        <v>0</v>
      </c>
    </row>
    <row r="55" customFormat="false" ht="15" hidden="false" customHeight="true" outlineLevel="0" collapsed="false">
      <c r="A55" s="14" t="s">
        <v>188</v>
      </c>
      <c r="C55" s="44" t="n">
        <v>0</v>
      </c>
      <c r="D55" s="44" t="n">
        <v>0</v>
      </c>
      <c r="E55" s="44" t="n">
        <v>0</v>
      </c>
      <c r="F55" s="44" t="n">
        <v>0</v>
      </c>
      <c r="G55" s="44" t="n">
        <v>0</v>
      </c>
      <c r="H55" s="44" t="n">
        <v>0</v>
      </c>
      <c r="I55" s="44" t="n">
        <v>0</v>
      </c>
      <c r="J55" s="44" t="n">
        <v>0</v>
      </c>
      <c r="K55" s="44" t="n">
        <v>0</v>
      </c>
      <c r="L55" s="44" t="n">
        <v>0</v>
      </c>
      <c r="M55" s="44" t="n">
        <v>0</v>
      </c>
      <c r="N55" s="44" t="n">
        <v>0</v>
      </c>
      <c r="O55" s="44" t="n">
        <v>0</v>
      </c>
      <c r="P55" s="44" t="n">
        <v>0</v>
      </c>
      <c r="Q55" s="44" t="n">
        <v>0</v>
      </c>
      <c r="R55" s="44" t="n">
        <v>0</v>
      </c>
      <c r="S55" s="44" t="n">
        <v>0</v>
      </c>
      <c r="T55" s="44" t="n">
        <v>0</v>
      </c>
      <c r="U55" s="44" t="n">
        <v>0</v>
      </c>
      <c r="V55" s="44" t="n">
        <v>0</v>
      </c>
      <c r="W55" s="44" t="n">
        <v>0</v>
      </c>
      <c r="X55" s="44" t="n">
        <v>0</v>
      </c>
      <c r="Y55" s="44" t="n">
        <v>0</v>
      </c>
    </row>
    <row r="56" customFormat="false" ht="15" hidden="false" customHeight="true" outlineLevel="0" collapsed="false">
      <c r="A56" s="14" t="s">
        <v>190</v>
      </c>
      <c r="C56" s="44" t="n">
        <v>0.2697</v>
      </c>
      <c r="D56" s="44" t="n">
        <v>0.3074</v>
      </c>
      <c r="E56" s="44" t="n">
        <v>0.3504</v>
      </c>
      <c r="F56" s="44" t="n">
        <v>0.3995</v>
      </c>
      <c r="G56" s="44" t="n">
        <v>0.4554</v>
      </c>
      <c r="H56" s="44" t="n">
        <v>0.5192</v>
      </c>
      <c r="I56" s="44" t="n">
        <v>0</v>
      </c>
      <c r="J56" s="44" t="n">
        <v>0</v>
      </c>
      <c r="K56" s="44" t="n">
        <v>0</v>
      </c>
      <c r="L56" s="44" t="n">
        <v>0</v>
      </c>
      <c r="M56" s="44" t="n">
        <v>0</v>
      </c>
      <c r="N56" s="44" t="n">
        <v>0</v>
      </c>
      <c r="O56" s="44" t="n">
        <v>0</v>
      </c>
      <c r="P56" s="44" t="n">
        <v>0</v>
      </c>
      <c r="Q56" s="44" t="n">
        <v>0</v>
      </c>
      <c r="R56" s="44" t="n">
        <v>0</v>
      </c>
      <c r="S56" s="44" t="n">
        <v>0</v>
      </c>
      <c r="T56" s="44" t="n">
        <v>0</v>
      </c>
      <c r="U56" s="44" t="n">
        <v>0</v>
      </c>
      <c r="V56" s="44" t="n">
        <v>0</v>
      </c>
      <c r="W56" s="44" t="n">
        <v>0</v>
      </c>
      <c r="X56" s="44" t="n">
        <v>0</v>
      </c>
      <c r="Y56" s="44" t="n">
        <v>0</v>
      </c>
    </row>
    <row r="58" customFormat="false" ht="15" hidden="false" customHeight="true" outlineLevel="0" collapsed="false">
      <c r="A58" s="43" t="s">
        <v>86</v>
      </c>
      <c r="B58" s="6"/>
      <c r="C58" s="6"/>
      <c r="D58" s="6"/>
      <c r="E58" s="6"/>
      <c r="F58" s="6"/>
      <c r="G58" s="6"/>
      <c r="H58" s="6"/>
      <c r="I58" s="6"/>
      <c r="J58" s="6"/>
      <c r="K58" s="6"/>
      <c r="L58" s="6"/>
      <c r="M58" s="6"/>
      <c r="N58" s="6"/>
      <c r="O58" s="6"/>
      <c r="P58" s="6"/>
      <c r="Q58" s="6"/>
      <c r="R58" s="6"/>
      <c r="S58" s="6"/>
      <c r="T58" s="6"/>
      <c r="U58" s="6"/>
      <c r="V58" s="6"/>
      <c r="W58" s="6"/>
      <c r="X58" s="6"/>
      <c r="Y58" s="6"/>
    </row>
    <row r="59" customFormat="false" ht="15" hidden="false" customHeight="true" outlineLevel="0" collapsed="false">
      <c r="A59" s="14" t="s">
        <v>183</v>
      </c>
      <c r="C59" s="44" t="n">
        <v>0.8505</v>
      </c>
      <c r="D59" s="44" t="n">
        <v>0.9696</v>
      </c>
      <c r="E59" s="44" t="n">
        <v>1.1053</v>
      </c>
      <c r="F59" s="44" t="n">
        <v>1.2601</v>
      </c>
      <c r="G59" s="44" t="n">
        <v>1.4365</v>
      </c>
      <c r="H59" s="44" t="n">
        <v>0</v>
      </c>
      <c r="I59" s="44" t="n">
        <v>0</v>
      </c>
      <c r="J59" s="44" t="n">
        <v>0</v>
      </c>
      <c r="K59" s="44" t="n">
        <v>0</v>
      </c>
      <c r="L59" s="44" t="n">
        <v>0</v>
      </c>
      <c r="M59" s="44" t="n">
        <v>0</v>
      </c>
      <c r="N59" s="44" t="n">
        <v>0</v>
      </c>
      <c r="O59" s="44" t="n">
        <v>0</v>
      </c>
      <c r="P59" s="44" t="n">
        <v>0</v>
      </c>
      <c r="Q59" s="44" t="n">
        <v>0</v>
      </c>
      <c r="R59" s="44" t="n">
        <v>0</v>
      </c>
      <c r="S59" s="44" t="n">
        <v>0</v>
      </c>
      <c r="T59" s="44" t="n">
        <v>0</v>
      </c>
      <c r="U59" s="44" t="n">
        <v>0</v>
      </c>
      <c r="V59" s="44" t="n">
        <v>0</v>
      </c>
      <c r="W59" s="44" t="n">
        <v>0</v>
      </c>
      <c r="X59" s="44" t="n">
        <v>0</v>
      </c>
      <c r="Y59" s="44" t="n">
        <v>0</v>
      </c>
    </row>
    <row r="60" customFormat="false" ht="15" hidden="false" customHeight="true" outlineLevel="0" collapsed="false">
      <c r="A60" s="14" t="s">
        <v>184</v>
      </c>
      <c r="C60" s="44" t="n">
        <v>0.0851</v>
      </c>
      <c r="D60" s="44" t="n">
        <v>0.1735</v>
      </c>
      <c r="E60" s="44" t="n">
        <v>0.2743</v>
      </c>
      <c r="F60" s="44" t="n">
        <v>0.3893</v>
      </c>
      <c r="G60" s="44" t="n">
        <v>0.5203</v>
      </c>
      <c r="H60" s="44" t="n">
        <v>0.506</v>
      </c>
      <c r="I60" s="44" t="n">
        <v>0.5251</v>
      </c>
      <c r="J60" s="44" t="n">
        <v>0.5469</v>
      </c>
      <c r="K60" s="44" t="n">
        <v>0.5718</v>
      </c>
      <c r="L60" s="44" t="n">
        <v>0.6001</v>
      </c>
      <c r="M60" s="44" t="n">
        <v>0.5368</v>
      </c>
      <c r="N60" s="44" t="n">
        <v>0.4277</v>
      </c>
      <c r="O60" s="44" t="n">
        <v>0.3034</v>
      </c>
      <c r="P60" s="44" t="n">
        <v>0.1616</v>
      </c>
      <c r="Q60" s="44" t="n">
        <v>0</v>
      </c>
      <c r="R60" s="44" t="n">
        <v>0</v>
      </c>
      <c r="S60" s="44" t="n">
        <v>0</v>
      </c>
      <c r="T60" s="44" t="n">
        <v>0</v>
      </c>
      <c r="U60" s="44" t="n">
        <v>0</v>
      </c>
      <c r="V60" s="44" t="n">
        <v>0</v>
      </c>
      <c r="W60" s="44" t="n">
        <v>0</v>
      </c>
      <c r="X60" s="44" t="n">
        <v>0</v>
      </c>
      <c r="Y60" s="44" t="n">
        <v>0</v>
      </c>
    </row>
    <row r="61" customFormat="false" ht="15" hidden="false" customHeight="true" outlineLevel="0" collapsed="false">
      <c r="A61" s="14" t="s">
        <v>185</v>
      </c>
      <c r="C61" s="44" t="n">
        <v>0.1701</v>
      </c>
      <c r="D61" s="44" t="n">
        <v>0.364</v>
      </c>
      <c r="E61" s="44" t="n">
        <v>0.5851</v>
      </c>
      <c r="F61" s="44" t="n">
        <v>0.8371</v>
      </c>
      <c r="G61" s="44" t="n">
        <v>1.1244</v>
      </c>
      <c r="H61" s="44" t="n">
        <v>0.9543</v>
      </c>
      <c r="I61" s="44" t="n">
        <v>0.7604</v>
      </c>
      <c r="J61" s="44" t="n">
        <v>0.5393</v>
      </c>
      <c r="K61" s="44" t="n">
        <v>0.2873</v>
      </c>
      <c r="L61" s="44" t="n">
        <v>0</v>
      </c>
      <c r="M61" s="44" t="n">
        <v>0</v>
      </c>
      <c r="N61" s="44" t="n">
        <v>0</v>
      </c>
      <c r="O61" s="44" t="n">
        <v>0</v>
      </c>
      <c r="P61" s="44" t="n">
        <v>0</v>
      </c>
      <c r="Q61" s="44" t="n">
        <v>0</v>
      </c>
      <c r="R61" s="44" t="n">
        <v>0</v>
      </c>
      <c r="S61" s="44" t="n">
        <v>0</v>
      </c>
      <c r="T61" s="44" t="n">
        <v>0</v>
      </c>
      <c r="U61" s="44" t="n">
        <v>0</v>
      </c>
      <c r="V61" s="44" t="n">
        <v>0</v>
      </c>
      <c r="W61" s="44" t="n">
        <v>0</v>
      </c>
      <c r="X61" s="44" t="n">
        <v>0</v>
      </c>
      <c r="Y61" s="44" t="n">
        <v>0</v>
      </c>
    </row>
    <row r="62" customFormat="false" ht="15" hidden="false" customHeight="true" outlineLevel="0" collapsed="false">
      <c r="A62" s="14" t="s">
        <v>186</v>
      </c>
      <c r="C62" s="44" t="n">
        <v>0.1016</v>
      </c>
      <c r="D62" s="44" t="n">
        <v>0.2174</v>
      </c>
      <c r="E62" s="44" t="n">
        <v>0.3495</v>
      </c>
      <c r="F62" s="44" t="n">
        <v>0.5</v>
      </c>
      <c r="G62" s="44" t="n">
        <v>0.6716</v>
      </c>
      <c r="H62" s="44" t="n">
        <v>0.57</v>
      </c>
      <c r="I62" s="44" t="n">
        <v>0.4542</v>
      </c>
      <c r="J62" s="44" t="n">
        <v>0.3221</v>
      </c>
      <c r="K62" s="44" t="n">
        <v>0.1716</v>
      </c>
      <c r="L62" s="44" t="n">
        <v>0</v>
      </c>
      <c r="M62" s="44" t="n">
        <v>0</v>
      </c>
      <c r="N62" s="44" t="n">
        <v>0</v>
      </c>
      <c r="O62" s="44" t="n">
        <v>0</v>
      </c>
      <c r="P62" s="44" t="n">
        <v>0</v>
      </c>
      <c r="Q62" s="44" t="n">
        <v>0</v>
      </c>
      <c r="R62" s="44" t="n">
        <v>0</v>
      </c>
      <c r="S62" s="44" t="n">
        <v>0</v>
      </c>
      <c r="T62" s="44" t="n">
        <v>0</v>
      </c>
      <c r="U62" s="44" t="n">
        <v>0</v>
      </c>
      <c r="V62" s="44" t="n">
        <v>0</v>
      </c>
      <c r="W62" s="44" t="n">
        <v>0</v>
      </c>
      <c r="X62" s="44" t="n">
        <v>0</v>
      </c>
      <c r="Y62" s="44" t="n">
        <v>0</v>
      </c>
    </row>
    <row r="63" customFormat="false" ht="15" hidden="false" customHeight="true" outlineLevel="0" collapsed="false">
      <c r="A63" s="14" t="s">
        <v>187</v>
      </c>
      <c r="C63" s="44" t="n">
        <v>0.0722</v>
      </c>
      <c r="D63" s="44" t="n">
        <v>0.1545</v>
      </c>
      <c r="E63" s="44" t="n">
        <v>0.2483</v>
      </c>
      <c r="F63" s="44" t="n">
        <v>0.3553</v>
      </c>
      <c r="G63" s="44" t="n">
        <v>0.4772</v>
      </c>
      <c r="H63" s="44" t="n">
        <v>0.405</v>
      </c>
      <c r="I63" s="44" t="n">
        <v>0.3227</v>
      </c>
      <c r="J63" s="44" t="n">
        <v>0.2289</v>
      </c>
      <c r="K63" s="44" t="n">
        <v>0.1219</v>
      </c>
      <c r="L63" s="44" t="n">
        <v>0</v>
      </c>
      <c r="M63" s="44" t="n">
        <v>0</v>
      </c>
      <c r="N63" s="44" t="n">
        <v>0</v>
      </c>
      <c r="O63" s="44" t="n">
        <v>0</v>
      </c>
      <c r="P63" s="44" t="n">
        <v>0</v>
      </c>
      <c r="Q63" s="44" t="n">
        <v>0</v>
      </c>
      <c r="R63" s="44" t="n">
        <v>0</v>
      </c>
      <c r="S63" s="44" t="n">
        <v>0</v>
      </c>
      <c r="T63" s="44" t="n">
        <v>0</v>
      </c>
      <c r="U63" s="44" t="n">
        <v>0</v>
      </c>
      <c r="V63" s="44" t="n">
        <v>0</v>
      </c>
      <c r="W63" s="44" t="n">
        <v>0</v>
      </c>
      <c r="X63" s="44" t="n">
        <v>0</v>
      </c>
      <c r="Y63" s="44" t="n">
        <v>0</v>
      </c>
    </row>
    <row r="64" customFormat="false" ht="15" hidden="false" customHeight="true" outlineLevel="0" collapsed="false">
      <c r="A64" s="14" t="s">
        <v>188</v>
      </c>
      <c r="C64" s="44" t="n">
        <v>0</v>
      </c>
      <c r="D64" s="44" t="n">
        <v>0</v>
      </c>
      <c r="E64" s="44" t="n">
        <v>0</v>
      </c>
      <c r="F64" s="44" t="n">
        <v>0</v>
      </c>
      <c r="G64" s="44" t="n">
        <v>0</v>
      </c>
      <c r="H64" s="44" t="n">
        <v>0</v>
      </c>
      <c r="I64" s="44" t="n">
        <v>0</v>
      </c>
      <c r="J64" s="44" t="n">
        <v>0</v>
      </c>
      <c r="K64" s="44" t="n">
        <v>0</v>
      </c>
      <c r="L64" s="44" t="n">
        <v>0</v>
      </c>
      <c r="M64" s="44" t="n">
        <v>0</v>
      </c>
      <c r="N64" s="44" t="n">
        <v>0</v>
      </c>
      <c r="O64" s="44" t="n">
        <v>0</v>
      </c>
      <c r="P64" s="44" t="n">
        <v>0</v>
      </c>
      <c r="Q64" s="44" t="n">
        <v>0</v>
      </c>
      <c r="R64" s="44" t="n">
        <v>0</v>
      </c>
      <c r="S64" s="44" t="n">
        <v>0</v>
      </c>
      <c r="T64" s="44" t="n">
        <v>0</v>
      </c>
      <c r="U64" s="44" t="n">
        <v>0</v>
      </c>
      <c r="V64" s="44" t="n">
        <v>0</v>
      </c>
      <c r="W64" s="44" t="n">
        <v>0</v>
      </c>
      <c r="X64" s="44" t="n">
        <v>0</v>
      </c>
      <c r="Y64" s="44" t="n">
        <v>0</v>
      </c>
    </row>
    <row r="65" customFormat="false" ht="15" hidden="false" customHeight="true" outlineLevel="0" collapsed="false">
      <c r="A65" s="14" t="s">
        <v>190</v>
      </c>
      <c r="C65" s="44" t="n">
        <v>0.0595</v>
      </c>
      <c r="D65" s="44" t="n">
        <v>0.0679</v>
      </c>
      <c r="E65" s="44" t="n">
        <v>0.0774</v>
      </c>
      <c r="F65" s="44" t="n">
        <v>0.0882</v>
      </c>
      <c r="G65" s="44" t="n">
        <v>0.1006</v>
      </c>
      <c r="H65" s="44" t="n">
        <v>0</v>
      </c>
      <c r="I65" s="44" t="n">
        <v>0</v>
      </c>
      <c r="J65" s="44" t="n">
        <v>0</v>
      </c>
      <c r="K65" s="44" t="n">
        <v>0</v>
      </c>
      <c r="L65" s="44" t="n">
        <v>0</v>
      </c>
      <c r="M65" s="44" t="n">
        <v>0</v>
      </c>
      <c r="N65" s="44" t="n">
        <v>0</v>
      </c>
      <c r="O65" s="44" t="n">
        <v>0</v>
      </c>
      <c r="P65" s="44" t="n">
        <v>0</v>
      </c>
      <c r="Q65" s="44" t="n">
        <v>0</v>
      </c>
      <c r="R65" s="44" t="n">
        <v>0</v>
      </c>
      <c r="S65" s="44" t="n">
        <v>0</v>
      </c>
      <c r="T65" s="44" t="n">
        <v>0</v>
      </c>
      <c r="U65" s="44" t="n">
        <v>0</v>
      </c>
      <c r="V65" s="44" t="n">
        <v>0</v>
      </c>
      <c r="W65" s="44" t="n">
        <v>0</v>
      </c>
      <c r="X65" s="44" t="n">
        <v>0</v>
      </c>
      <c r="Y65" s="44" t="n">
        <v>0</v>
      </c>
    </row>
    <row r="67" customFormat="false" ht="15" hidden="false" customHeight="true" outlineLevel="0" collapsed="false">
      <c r="A67" s="43" t="s">
        <v>88</v>
      </c>
      <c r="B67" s="6"/>
      <c r="C67" s="6"/>
      <c r="D67" s="6"/>
      <c r="E67" s="6"/>
      <c r="F67" s="6"/>
      <c r="G67" s="6"/>
      <c r="H67" s="6"/>
      <c r="I67" s="6"/>
      <c r="J67" s="6"/>
      <c r="K67" s="6"/>
      <c r="L67" s="6"/>
      <c r="M67" s="6"/>
      <c r="N67" s="6"/>
      <c r="O67" s="6"/>
      <c r="P67" s="6"/>
      <c r="Q67" s="6"/>
      <c r="R67" s="6"/>
      <c r="S67" s="6"/>
      <c r="T67" s="6"/>
      <c r="U67" s="6"/>
      <c r="V67" s="6"/>
      <c r="W67" s="6"/>
      <c r="X67" s="6"/>
      <c r="Y67" s="6"/>
    </row>
    <row r="68" customFormat="false" ht="15" hidden="false" customHeight="true" outlineLevel="0" collapsed="false">
      <c r="A68" s="14" t="s">
        <v>183</v>
      </c>
      <c r="C68" s="44" t="n">
        <v>0</v>
      </c>
      <c r="D68" s="44" t="n">
        <v>0</v>
      </c>
      <c r="E68" s="44" t="n">
        <v>3.4767</v>
      </c>
      <c r="F68" s="44" t="n">
        <v>3.9634</v>
      </c>
      <c r="G68" s="44" t="n">
        <v>4.5183</v>
      </c>
      <c r="H68" s="44" t="n">
        <v>5.1509</v>
      </c>
      <c r="I68" s="44" t="n">
        <v>5.872</v>
      </c>
      <c r="J68" s="44" t="n">
        <v>6.6941</v>
      </c>
      <c r="K68" s="44" t="n">
        <v>0</v>
      </c>
      <c r="L68" s="44" t="n">
        <v>0</v>
      </c>
      <c r="M68" s="44" t="n">
        <v>0</v>
      </c>
      <c r="N68" s="44" t="n">
        <v>0</v>
      </c>
      <c r="O68" s="44" t="n">
        <v>0</v>
      </c>
      <c r="P68" s="44" t="n">
        <v>0</v>
      </c>
      <c r="Q68" s="44" t="n">
        <v>0</v>
      </c>
      <c r="R68" s="44" t="n">
        <v>0</v>
      </c>
      <c r="S68" s="44" t="n">
        <v>0</v>
      </c>
      <c r="T68" s="44" t="n">
        <v>0</v>
      </c>
      <c r="U68" s="44" t="n">
        <v>0</v>
      </c>
      <c r="V68" s="44" t="n">
        <v>0</v>
      </c>
      <c r="W68" s="44" t="n">
        <v>0</v>
      </c>
      <c r="X68" s="44" t="n">
        <v>0</v>
      </c>
      <c r="Y68" s="44" t="n">
        <v>0</v>
      </c>
    </row>
    <row r="69" customFormat="false" ht="15" hidden="false" customHeight="true" outlineLevel="0" collapsed="false">
      <c r="A69" s="14" t="s">
        <v>184</v>
      </c>
      <c r="C69" s="44" t="n">
        <v>0</v>
      </c>
      <c r="D69" s="44" t="n">
        <v>0</v>
      </c>
      <c r="E69" s="44" t="n">
        <v>0.3477</v>
      </c>
      <c r="F69" s="44" t="n">
        <v>0.6571</v>
      </c>
      <c r="G69" s="44" t="n">
        <v>1.0098</v>
      </c>
      <c r="H69" s="44" t="n">
        <v>1.412</v>
      </c>
      <c r="I69" s="44" t="n">
        <v>1.8704</v>
      </c>
      <c r="J69" s="44" t="n">
        <v>2.393</v>
      </c>
      <c r="K69" s="44" t="n">
        <v>2.2257</v>
      </c>
      <c r="L69" s="44" t="n">
        <v>2.356</v>
      </c>
      <c r="M69" s="44" t="n">
        <v>2.5047</v>
      </c>
      <c r="N69" s="44" t="n">
        <v>2.6741</v>
      </c>
      <c r="O69" s="44" t="n">
        <v>2.8672</v>
      </c>
      <c r="P69" s="44" t="n">
        <v>2.6963</v>
      </c>
      <c r="Q69" s="44" t="n">
        <v>2.5015</v>
      </c>
      <c r="R69" s="44" t="n">
        <v>1.9932</v>
      </c>
      <c r="S69" s="44" t="n">
        <v>1.4137</v>
      </c>
      <c r="T69" s="44" t="n">
        <v>0.7531</v>
      </c>
      <c r="U69" s="44" t="n">
        <v>0</v>
      </c>
      <c r="V69" s="44" t="n">
        <v>0</v>
      </c>
      <c r="W69" s="44" t="n">
        <v>0</v>
      </c>
      <c r="X69" s="44" t="n">
        <v>0</v>
      </c>
      <c r="Y69" s="44" t="n">
        <v>0</v>
      </c>
    </row>
    <row r="70" customFormat="false" ht="15" hidden="false" customHeight="true" outlineLevel="0" collapsed="false">
      <c r="A70" s="14" t="s">
        <v>185</v>
      </c>
      <c r="C70" s="44" t="n">
        <v>0</v>
      </c>
      <c r="D70" s="44" t="n">
        <v>0</v>
      </c>
      <c r="E70" s="44" t="n">
        <v>0.5794</v>
      </c>
      <c r="F70" s="44" t="n">
        <v>1.24</v>
      </c>
      <c r="G70" s="44" t="n">
        <v>1.9931</v>
      </c>
      <c r="H70" s="44" t="n">
        <v>2.8515</v>
      </c>
      <c r="I70" s="44" t="n">
        <v>3.8302</v>
      </c>
      <c r="J70" s="44" t="n">
        <v>4.9459</v>
      </c>
      <c r="K70" s="44" t="n">
        <v>4.3664</v>
      </c>
      <c r="L70" s="44" t="n">
        <v>3.7059</v>
      </c>
      <c r="M70" s="44" t="n">
        <v>2.9528</v>
      </c>
      <c r="N70" s="44" t="n">
        <v>2.0943</v>
      </c>
      <c r="O70" s="44" t="n">
        <v>1.1157</v>
      </c>
      <c r="P70" s="44" t="n">
        <v>0</v>
      </c>
      <c r="Q70" s="44" t="n">
        <v>0</v>
      </c>
      <c r="R70" s="44" t="n">
        <v>0</v>
      </c>
      <c r="S70" s="44" t="n">
        <v>0</v>
      </c>
      <c r="T70" s="44" t="n">
        <v>0</v>
      </c>
      <c r="U70" s="44" t="n">
        <v>0</v>
      </c>
      <c r="V70" s="44" t="n">
        <v>0</v>
      </c>
      <c r="W70" s="44" t="n">
        <v>0</v>
      </c>
      <c r="X70" s="44" t="n">
        <v>0</v>
      </c>
      <c r="Y70" s="44" t="n">
        <v>0</v>
      </c>
    </row>
    <row r="71" customFormat="false" ht="15" hidden="false" customHeight="true" outlineLevel="0" collapsed="false">
      <c r="A71" s="14" t="s">
        <v>186</v>
      </c>
      <c r="C71" s="44" t="n">
        <v>0</v>
      </c>
      <c r="D71" s="44" t="n">
        <v>0</v>
      </c>
      <c r="E71" s="44" t="n">
        <v>0.3522</v>
      </c>
      <c r="F71" s="44" t="n">
        <v>0.7538</v>
      </c>
      <c r="G71" s="44" t="n">
        <v>1.2116</v>
      </c>
      <c r="H71" s="44" t="n">
        <v>1.7334</v>
      </c>
      <c r="I71" s="44" t="n">
        <v>2.3284</v>
      </c>
      <c r="J71" s="44" t="n">
        <v>3.0066</v>
      </c>
      <c r="K71" s="44" t="n">
        <v>2.6543</v>
      </c>
      <c r="L71" s="44" t="n">
        <v>2.2528</v>
      </c>
      <c r="M71" s="44" t="n">
        <v>1.795</v>
      </c>
      <c r="N71" s="44" t="n">
        <v>1.2731</v>
      </c>
      <c r="O71" s="44" t="n">
        <v>0.6782</v>
      </c>
      <c r="P71" s="44" t="n">
        <v>0</v>
      </c>
      <c r="Q71" s="44" t="n">
        <v>0</v>
      </c>
      <c r="R71" s="44" t="n">
        <v>0</v>
      </c>
      <c r="S71" s="44" t="n">
        <v>0</v>
      </c>
      <c r="T71" s="44" t="n">
        <v>0</v>
      </c>
      <c r="U71" s="44" t="n">
        <v>0</v>
      </c>
      <c r="V71" s="44" t="n">
        <v>0</v>
      </c>
      <c r="W71" s="44" t="n">
        <v>0</v>
      </c>
      <c r="X71" s="44" t="n">
        <v>0</v>
      </c>
      <c r="Y71" s="44" t="n">
        <v>0</v>
      </c>
    </row>
    <row r="72" customFormat="false" ht="15" hidden="false" customHeight="true" outlineLevel="0" collapsed="false">
      <c r="A72" s="14" t="s">
        <v>187</v>
      </c>
      <c r="C72" s="44" t="n">
        <v>0</v>
      </c>
      <c r="D72" s="44" t="n">
        <v>0</v>
      </c>
      <c r="E72" s="44" t="n">
        <v>0.2379</v>
      </c>
      <c r="F72" s="44" t="n">
        <v>0.5091</v>
      </c>
      <c r="G72" s="44" t="n">
        <v>0.8182</v>
      </c>
      <c r="H72" s="44" t="n">
        <v>1.1706</v>
      </c>
      <c r="I72" s="44" t="n">
        <v>1.5724</v>
      </c>
      <c r="J72" s="44" t="n">
        <v>2.0304</v>
      </c>
      <c r="K72" s="44" t="n">
        <v>1.7925</v>
      </c>
      <c r="L72" s="44" t="n">
        <v>1.5214</v>
      </c>
      <c r="M72" s="44" t="n">
        <v>1.2122</v>
      </c>
      <c r="N72" s="44" t="n">
        <v>0.8598</v>
      </c>
      <c r="O72" s="44" t="n">
        <v>0.458</v>
      </c>
      <c r="P72" s="44" t="n">
        <v>0</v>
      </c>
      <c r="Q72" s="44" t="n">
        <v>0</v>
      </c>
      <c r="R72" s="44" t="n">
        <v>0</v>
      </c>
      <c r="S72" s="44" t="n">
        <v>0</v>
      </c>
      <c r="T72" s="44" t="n">
        <v>0</v>
      </c>
      <c r="U72" s="44" t="n">
        <v>0</v>
      </c>
      <c r="V72" s="44" t="n">
        <v>0</v>
      </c>
      <c r="W72" s="44" t="n">
        <v>0</v>
      </c>
      <c r="X72" s="44" t="n">
        <v>0</v>
      </c>
      <c r="Y72" s="44" t="n">
        <v>0</v>
      </c>
    </row>
    <row r="73" customFormat="false" ht="15" hidden="false" customHeight="true" outlineLevel="0" collapsed="false">
      <c r="A73" s="14" t="s">
        <v>188</v>
      </c>
      <c r="C73" s="44" t="n">
        <v>0</v>
      </c>
      <c r="D73" s="44" t="n">
        <v>0</v>
      </c>
      <c r="E73" s="44" t="n">
        <v>0</v>
      </c>
      <c r="F73" s="44" t="n">
        <v>0</v>
      </c>
      <c r="G73" s="44" t="n">
        <v>0</v>
      </c>
      <c r="H73" s="44" t="n">
        <v>0</v>
      </c>
      <c r="I73" s="44" t="n">
        <v>0</v>
      </c>
      <c r="J73" s="44" t="n">
        <v>0</v>
      </c>
      <c r="K73" s="44" t="n">
        <v>0</v>
      </c>
      <c r="L73" s="44" t="n">
        <v>0</v>
      </c>
      <c r="M73" s="44" t="n">
        <v>0</v>
      </c>
      <c r="N73" s="44" t="n">
        <v>0</v>
      </c>
      <c r="O73" s="44" t="n">
        <v>0</v>
      </c>
      <c r="P73" s="44" t="n">
        <v>0</v>
      </c>
      <c r="Q73" s="44" t="n">
        <v>0</v>
      </c>
      <c r="R73" s="44" t="n">
        <v>0</v>
      </c>
      <c r="S73" s="44" t="n">
        <v>0</v>
      </c>
      <c r="T73" s="44" t="n">
        <v>0</v>
      </c>
      <c r="U73" s="44" t="n">
        <v>0</v>
      </c>
      <c r="V73" s="44" t="n">
        <v>0</v>
      </c>
      <c r="W73" s="44" t="n">
        <v>0</v>
      </c>
      <c r="X73" s="44" t="n">
        <v>0</v>
      </c>
      <c r="Y73" s="44" t="n">
        <v>0</v>
      </c>
    </row>
    <row r="74" customFormat="false" ht="15" hidden="false" customHeight="true" outlineLevel="0" collapsed="false">
      <c r="A74" s="14" t="s">
        <v>190</v>
      </c>
      <c r="C74" s="44" t="n">
        <v>0</v>
      </c>
      <c r="D74" s="44" t="n">
        <v>0</v>
      </c>
      <c r="E74" s="44" t="n">
        <v>0.2434</v>
      </c>
      <c r="F74" s="44" t="n">
        <v>0.2774</v>
      </c>
      <c r="G74" s="44" t="n">
        <v>0.3163</v>
      </c>
      <c r="H74" s="44" t="n">
        <v>0.3606</v>
      </c>
      <c r="I74" s="44" t="n">
        <v>0.411</v>
      </c>
      <c r="J74" s="44" t="n">
        <v>0.4686</v>
      </c>
      <c r="K74" s="44" t="n">
        <v>0</v>
      </c>
      <c r="L74" s="44" t="n">
        <v>0</v>
      </c>
      <c r="M74" s="44" t="n">
        <v>0</v>
      </c>
      <c r="N74" s="44" t="n">
        <v>0</v>
      </c>
      <c r="O74" s="44" t="n">
        <v>0</v>
      </c>
      <c r="P74" s="44" t="n">
        <v>0</v>
      </c>
      <c r="Q74" s="44" t="n">
        <v>0</v>
      </c>
      <c r="R74" s="44" t="n">
        <v>0</v>
      </c>
      <c r="S74" s="44" t="n">
        <v>0</v>
      </c>
      <c r="T74" s="44" t="n">
        <v>0</v>
      </c>
      <c r="U74" s="44" t="n">
        <v>0</v>
      </c>
      <c r="V74" s="44" t="n">
        <v>0</v>
      </c>
      <c r="W74" s="44" t="n">
        <v>0</v>
      </c>
      <c r="X74" s="44" t="n">
        <v>0</v>
      </c>
      <c r="Y74" s="44" t="n">
        <v>0</v>
      </c>
    </row>
    <row r="76" customFormat="false" ht="15" hidden="false" customHeight="true" outlineLevel="0" collapsed="false">
      <c r="A76" s="43" t="s">
        <v>90</v>
      </c>
      <c r="B76" s="6"/>
      <c r="C76" s="6"/>
      <c r="D76" s="6"/>
      <c r="E76" s="6"/>
      <c r="F76" s="6"/>
      <c r="G76" s="6"/>
      <c r="H76" s="6"/>
      <c r="I76" s="6"/>
      <c r="J76" s="6"/>
      <c r="K76" s="6"/>
      <c r="L76" s="6"/>
      <c r="M76" s="6"/>
      <c r="N76" s="6"/>
      <c r="O76" s="6"/>
      <c r="P76" s="6"/>
      <c r="Q76" s="6"/>
      <c r="R76" s="6"/>
      <c r="S76" s="6"/>
      <c r="T76" s="6"/>
      <c r="U76" s="6"/>
      <c r="V76" s="6"/>
      <c r="W76" s="6"/>
      <c r="X76" s="6"/>
      <c r="Y76" s="6"/>
    </row>
    <row r="77" customFormat="false" ht="15" hidden="false" customHeight="true" outlineLevel="0" collapsed="false">
      <c r="A77" s="14" t="s">
        <v>183</v>
      </c>
      <c r="C77" s="44" t="n">
        <v>9.7763</v>
      </c>
      <c r="D77" s="44" t="n">
        <v>11.1449</v>
      </c>
      <c r="E77" s="44" t="n">
        <v>12.7052</v>
      </c>
      <c r="F77" s="44" t="n">
        <v>14.4839</v>
      </c>
      <c r="G77" s="44" t="n">
        <v>16.5117</v>
      </c>
      <c r="H77" s="44" t="n">
        <v>18.8233</v>
      </c>
      <c r="I77" s="44" t="n">
        <v>21.4586</v>
      </c>
      <c r="J77" s="44" t="n">
        <v>0</v>
      </c>
      <c r="K77" s="44" t="n">
        <v>0</v>
      </c>
      <c r="L77" s="44" t="n">
        <v>0</v>
      </c>
      <c r="M77" s="44" t="n">
        <v>0</v>
      </c>
      <c r="N77" s="44" t="n">
        <v>0</v>
      </c>
      <c r="O77" s="44" t="n">
        <v>0</v>
      </c>
      <c r="P77" s="44" t="n">
        <v>0</v>
      </c>
      <c r="Q77" s="44" t="n">
        <v>0</v>
      </c>
      <c r="R77" s="44" t="n">
        <v>0</v>
      </c>
      <c r="S77" s="44" t="n">
        <v>0</v>
      </c>
      <c r="T77" s="44" t="n">
        <v>0</v>
      </c>
      <c r="U77" s="44" t="n">
        <v>0</v>
      </c>
      <c r="V77" s="44" t="n">
        <v>0</v>
      </c>
      <c r="W77" s="44" t="n">
        <v>0</v>
      </c>
      <c r="X77" s="44" t="n">
        <v>0</v>
      </c>
      <c r="Y77" s="44" t="n">
        <v>0</v>
      </c>
    </row>
    <row r="78" customFormat="false" ht="15" hidden="false" customHeight="true" outlineLevel="0" collapsed="false">
      <c r="A78" s="14" t="s">
        <v>184</v>
      </c>
      <c r="C78" s="44" t="n">
        <v>0.9776</v>
      </c>
      <c r="D78" s="44" t="n">
        <v>1.8477</v>
      </c>
      <c r="E78" s="44" t="n">
        <v>2.8396</v>
      </c>
      <c r="F78" s="44" t="n">
        <v>3.9704</v>
      </c>
      <c r="G78" s="44" t="n">
        <v>5.2594</v>
      </c>
      <c r="H78" s="44" t="n">
        <v>6.729</v>
      </c>
      <c r="I78" s="44" t="n">
        <v>8.4043</v>
      </c>
      <c r="J78" s="44" t="n">
        <v>8.2344</v>
      </c>
      <c r="K78" s="44" t="n">
        <v>8.6523</v>
      </c>
      <c r="L78" s="44" t="n">
        <v>9.1288</v>
      </c>
      <c r="M78" s="44" t="n">
        <v>9.6719</v>
      </c>
      <c r="N78" s="44" t="n">
        <v>9.1913</v>
      </c>
      <c r="O78" s="44" t="n">
        <v>8.6434</v>
      </c>
      <c r="P78" s="44" t="n">
        <v>8.0187</v>
      </c>
      <c r="Q78" s="44" t="n">
        <v>6.3893</v>
      </c>
      <c r="R78" s="44" t="n">
        <v>4.5317</v>
      </c>
      <c r="S78" s="44" t="n">
        <v>2.4141</v>
      </c>
      <c r="T78" s="44" t="n">
        <v>0</v>
      </c>
      <c r="U78" s="44" t="n">
        <v>0</v>
      </c>
      <c r="V78" s="44" t="n">
        <v>0</v>
      </c>
      <c r="W78" s="44" t="n">
        <v>0</v>
      </c>
      <c r="X78" s="44" t="n">
        <v>0</v>
      </c>
      <c r="Y78" s="44" t="n">
        <v>0</v>
      </c>
    </row>
    <row r="79" customFormat="false" ht="15" hidden="false" customHeight="true" outlineLevel="0" collapsed="false">
      <c r="A79" s="14" t="s">
        <v>185</v>
      </c>
      <c r="C79" s="44" t="n">
        <v>1.6294</v>
      </c>
      <c r="D79" s="44" t="n">
        <v>3.4869</v>
      </c>
      <c r="E79" s="44" t="n">
        <v>5.6044</v>
      </c>
      <c r="F79" s="44" t="n">
        <v>8.0184</v>
      </c>
      <c r="G79" s="44" t="n">
        <v>10.7703</v>
      </c>
      <c r="H79" s="44" t="n">
        <v>13.9076</v>
      </c>
      <c r="I79" s="44" t="n">
        <v>15.8546</v>
      </c>
      <c r="J79" s="44" t="n">
        <v>13.9971</v>
      </c>
      <c r="K79" s="44" t="n">
        <v>11.8796</v>
      </c>
      <c r="L79" s="44" t="n">
        <v>9.4656</v>
      </c>
      <c r="M79" s="44" t="n">
        <v>6.7137</v>
      </c>
      <c r="N79" s="44" t="n">
        <v>3.5764</v>
      </c>
      <c r="O79" s="44" t="n">
        <v>0</v>
      </c>
      <c r="P79" s="44" t="n">
        <v>0</v>
      </c>
      <c r="Q79" s="44" t="n">
        <v>0</v>
      </c>
      <c r="R79" s="44" t="n">
        <v>0</v>
      </c>
      <c r="S79" s="44" t="n">
        <v>0</v>
      </c>
      <c r="T79" s="44" t="n">
        <v>0</v>
      </c>
      <c r="U79" s="44" t="n">
        <v>0</v>
      </c>
      <c r="V79" s="44" t="n">
        <v>0</v>
      </c>
      <c r="W79" s="44" t="n">
        <v>0</v>
      </c>
      <c r="X79" s="44" t="n">
        <v>0</v>
      </c>
      <c r="Y79" s="44" t="n">
        <v>0</v>
      </c>
    </row>
    <row r="80" customFormat="false" ht="15" hidden="false" customHeight="true" outlineLevel="0" collapsed="false">
      <c r="A80" s="14" t="s">
        <v>186</v>
      </c>
      <c r="C80" s="44" t="n">
        <v>0.8669</v>
      </c>
      <c r="D80" s="44" t="n">
        <v>1.8552</v>
      </c>
      <c r="E80" s="44" t="n">
        <v>2.9818</v>
      </c>
      <c r="F80" s="44" t="n">
        <v>4.2662</v>
      </c>
      <c r="G80" s="44" t="n">
        <v>5.7303</v>
      </c>
      <c r="H80" s="44" t="n">
        <v>7.3995</v>
      </c>
      <c r="I80" s="44" t="n">
        <v>8.4354</v>
      </c>
      <c r="J80" s="44" t="n">
        <v>7.4471</v>
      </c>
      <c r="K80" s="44" t="n">
        <v>6.3205</v>
      </c>
      <c r="L80" s="44" t="n">
        <v>5.0362</v>
      </c>
      <c r="M80" s="44" t="n">
        <v>3.572</v>
      </c>
      <c r="N80" s="44" t="n">
        <v>1.9028</v>
      </c>
      <c r="O80" s="44" t="n">
        <v>0</v>
      </c>
      <c r="P80" s="44" t="n">
        <v>0</v>
      </c>
      <c r="Q80" s="44" t="n">
        <v>0</v>
      </c>
      <c r="R80" s="44" t="n">
        <v>0</v>
      </c>
      <c r="S80" s="44" t="n">
        <v>0</v>
      </c>
      <c r="T80" s="44" t="n">
        <v>0</v>
      </c>
      <c r="U80" s="44" t="n">
        <v>0</v>
      </c>
      <c r="V80" s="44" t="n">
        <v>0</v>
      </c>
      <c r="W80" s="44" t="n">
        <v>0</v>
      </c>
      <c r="X80" s="44" t="n">
        <v>0</v>
      </c>
      <c r="Y80" s="44" t="n">
        <v>0</v>
      </c>
    </row>
    <row r="81" customFormat="false" ht="15" hidden="false" customHeight="true" outlineLevel="0" collapsed="false">
      <c r="A81" s="14" t="s">
        <v>187</v>
      </c>
      <c r="C81" s="44" t="n">
        <v>0.605</v>
      </c>
      <c r="D81" s="44" t="n">
        <v>1.2947</v>
      </c>
      <c r="E81" s="44" t="n">
        <v>2.081</v>
      </c>
      <c r="F81" s="44" t="n">
        <v>2.9773</v>
      </c>
      <c r="G81" s="44" t="n">
        <v>3.9991</v>
      </c>
      <c r="H81" s="44" t="n">
        <v>5.164</v>
      </c>
      <c r="I81" s="44" t="n">
        <v>5.8869</v>
      </c>
      <c r="J81" s="44" t="n">
        <v>5.1972</v>
      </c>
      <c r="K81" s="44" t="n">
        <v>4.411</v>
      </c>
      <c r="L81" s="44" t="n">
        <v>3.5147</v>
      </c>
      <c r="M81" s="44" t="n">
        <v>2.4928</v>
      </c>
      <c r="N81" s="44" t="n">
        <v>1.328</v>
      </c>
      <c r="O81" s="44" t="n">
        <v>0</v>
      </c>
      <c r="P81" s="44" t="n">
        <v>0</v>
      </c>
      <c r="Q81" s="44" t="n">
        <v>0</v>
      </c>
      <c r="R81" s="44" t="n">
        <v>0</v>
      </c>
      <c r="S81" s="44" t="n">
        <v>0</v>
      </c>
      <c r="T81" s="44" t="n">
        <v>0</v>
      </c>
      <c r="U81" s="44" t="n">
        <v>0</v>
      </c>
      <c r="V81" s="44" t="n">
        <v>0</v>
      </c>
      <c r="W81" s="44" t="n">
        <v>0</v>
      </c>
      <c r="X81" s="44" t="n">
        <v>0</v>
      </c>
      <c r="Y81" s="44" t="n">
        <v>0</v>
      </c>
    </row>
    <row r="82" customFormat="false" ht="15" hidden="false" customHeight="true" outlineLevel="0" collapsed="false">
      <c r="A82" s="14" t="s">
        <v>188</v>
      </c>
      <c r="C82" s="44" t="n">
        <v>0</v>
      </c>
      <c r="D82" s="44" t="n">
        <v>0</v>
      </c>
      <c r="E82" s="44" t="n">
        <v>0</v>
      </c>
      <c r="F82" s="44" t="n">
        <v>0</v>
      </c>
      <c r="G82" s="44" t="n">
        <v>0</v>
      </c>
      <c r="H82" s="44" t="n">
        <v>0</v>
      </c>
      <c r="I82" s="44" t="n">
        <v>0</v>
      </c>
      <c r="J82" s="44" t="n">
        <v>0</v>
      </c>
      <c r="K82" s="44" t="n">
        <v>0</v>
      </c>
      <c r="L82" s="44" t="n">
        <v>0</v>
      </c>
      <c r="M82" s="44" t="n">
        <v>0</v>
      </c>
      <c r="N82" s="44" t="n">
        <v>0</v>
      </c>
      <c r="O82" s="44" t="n">
        <v>0</v>
      </c>
      <c r="P82" s="44" t="n">
        <v>0</v>
      </c>
      <c r="Q82" s="44" t="n">
        <v>0</v>
      </c>
      <c r="R82" s="44" t="n">
        <v>0</v>
      </c>
      <c r="S82" s="44" t="n">
        <v>0</v>
      </c>
      <c r="T82" s="44" t="n">
        <v>0</v>
      </c>
      <c r="U82" s="44" t="n">
        <v>0</v>
      </c>
      <c r="V82" s="44" t="n">
        <v>0</v>
      </c>
      <c r="W82" s="44" t="n">
        <v>0</v>
      </c>
      <c r="X82" s="44" t="n">
        <v>0</v>
      </c>
      <c r="Y82" s="44" t="n">
        <v>0</v>
      </c>
    </row>
    <row r="83" customFormat="false" ht="15" hidden="false" customHeight="true" outlineLevel="0" collapsed="false">
      <c r="A83" s="14" t="s">
        <v>190</v>
      </c>
      <c r="C83" s="44" t="n">
        <v>0.7821</v>
      </c>
      <c r="D83" s="44" t="n">
        <v>0.8916</v>
      </c>
      <c r="E83" s="44" t="n">
        <v>1.0164</v>
      </c>
      <c r="F83" s="44" t="n">
        <v>1.1587</v>
      </c>
      <c r="G83" s="44" t="n">
        <v>1.3209</v>
      </c>
      <c r="H83" s="44" t="n">
        <v>1.5059</v>
      </c>
      <c r="I83" s="44" t="n">
        <v>1.7167</v>
      </c>
      <c r="J83" s="44" t="n">
        <v>0</v>
      </c>
      <c r="K83" s="44" t="n">
        <v>0</v>
      </c>
      <c r="L83" s="44" t="n">
        <v>0</v>
      </c>
      <c r="M83" s="44" t="n">
        <v>0</v>
      </c>
      <c r="N83" s="44" t="n">
        <v>0</v>
      </c>
      <c r="O83" s="44" t="n">
        <v>0</v>
      </c>
      <c r="P83" s="44" t="n">
        <v>0</v>
      </c>
      <c r="Q83" s="44" t="n">
        <v>0</v>
      </c>
      <c r="R83" s="44" t="n">
        <v>0</v>
      </c>
      <c r="S83" s="44" t="n">
        <v>0</v>
      </c>
      <c r="T83" s="44" t="n">
        <v>0</v>
      </c>
      <c r="U83" s="44" t="n">
        <v>0</v>
      </c>
      <c r="V83" s="44" t="n">
        <v>0</v>
      </c>
      <c r="W83" s="44" t="n">
        <v>0</v>
      </c>
      <c r="X83" s="44" t="n">
        <v>0</v>
      </c>
      <c r="Y83" s="44" t="n">
        <v>0</v>
      </c>
    </row>
    <row r="85" customFormat="false" ht="15" hidden="false" customHeight="true" outlineLevel="0" collapsed="false">
      <c r="A85" s="43" t="s">
        <v>92</v>
      </c>
      <c r="B85" s="6"/>
      <c r="C85" s="6"/>
      <c r="D85" s="6"/>
      <c r="E85" s="6"/>
      <c r="F85" s="6"/>
      <c r="G85" s="6"/>
      <c r="H85" s="6"/>
      <c r="I85" s="6"/>
      <c r="J85" s="6"/>
      <c r="K85" s="6"/>
      <c r="L85" s="6"/>
      <c r="M85" s="6"/>
      <c r="N85" s="6"/>
      <c r="O85" s="6"/>
      <c r="P85" s="6"/>
      <c r="Q85" s="6"/>
      <c r="R85" s="6"/>
      <c r="S85" s="6"/>
      <c r="T85" s="6"/>
      <c r="U85" s="6"/>
      <c r="V85" s="6"/>
      <c r="W85" s="6"/>
      <c r="X85" s="6"/>
      <c r="Y85" s="6"/>
    </row>
    <row r="86" customFormat="false" ht="15" hidden="false" customHeight="true" outlineLevel="0" collapsed="false">
      <c r="A86" s="14" t="s">
        <v>183</v>
      </c>
      <c r="C86" s="44" t="n">
        <v>1.2035</v>
      </c>
      <c r="D86" s="44" t="n">
        <v>1.372</v>
      </c>
      <c r="E86" s="44" t="n">
        <v>1.564</v>
      </c>
      <c r="F86" s="44" t="n">
        <v>1.783</v>
      </c>
      <c r="G86" s="44" t="n">
        <v>2.0326</v>
      </c>
      <c r="H86" s="44" t="n">
        <v>2.3172</v>
      </c>
      <c r="I86" s="44" t="n">
        <v>0</v>
      </c>
      <c r="J86" s="44" t="n">
        <v>0</v>
      </c>
      <c r="K86" s="44" t="n">
        <v>0</v>
      </c>
      <c r="L86" s="44" t="n">
        <v>0</v>
      </c>
      <c r="M86" s="44" t="n">
        <v>0</v>
      </c>
      <c r="N86" s="44" t="n">
        <v>0</v>
      </c>
      <c r="O86" s="44" t="n">
        <v>0</v>
      </c>
      <c r="P86" s="44" t="n">
        <v>0</v>
      </c>
      <c r="Q86" s="44" t="n">
        <v>0</v>
      </c>
      <c r="R86" s="44" t="n">
        <v>0</v>
      </c>
      <c r="S86" s="44" t="n">
        <v>0</v>
      </c>
      <c r="T86" s="44" t="n">
        <v>0</v>
      </c>
      <c r="U86" s="44" t="n">
        <v>0</v>
      </c>
      <c r="V86" s="44" t="n">
        <v>0</v>
      </c>
      <c r="W86" s="44" t="n">
        <v>0</v>
      </c>
      <c r="X86" s="44" t="n">
        <v>0</v>
      </c>
      <c r="Y86" s="44" t="n">
        <v>0</v>
      </c>
    </row>
    <row r="87" customFormat="false" ht="15" hidden="false" customHeight="true" outlineLevel="0" collapsed="false">
      <c r="A87" s="14" t="s">
        <v>184</v>
      </c>
      <c r="C87" s="44" t="n">
        <v>0.1203</v>
      </c>
      <c r="D87" s="44" t="n">
        <v>0.2455</v>
      </c>
      <c r="E87" s="44" t="n">
        <v>0.3882</v>
      </c>
      <c r="F87" s="44" t="n">
        <v>0.5508</v>
      </c>
      <c r="G87" s="44" t="n">
        <v>0.7363</v>
      </c>
      <c r="H87" s="44" t="n">
        <v>0.9477</v>
      </c>
      <c r="I87" s="44" t="n">
        <v>0.9516</v>
      </c>
      <c r="J87" s="44" t="n">
        <v>0.9824</v>
      </c>
      <c r="K87" s="44" t="n">
        <v>1.0176</v>
      </c>
      <c r="L87" s="44" t="n">
        <v>1.0578</v>
      </c>
      <c r="M87" s="44" t="n">
        <v>0.9681</v>
      </c>
      <c r="N87" s="44" t="n">
        <v>0.8659</v>
      </c>
      <c r="O87" s="44" t="n">
        <v>0.6899</v>
      </c>
      <c r="P87" s="44" t="n">
        <v>0.4894</v>
      </c>
      <c r="Q87" s="44" t="n">
        <v>0.2607</v>
      </c>
      <c r="R87" s="44" t="n">
        <v>0</v>
      </c>
      <c r="S87" s="44" t="n">
        <v>0</v>
      </c>
      <c r="T87" s="44" t="n">
        <v>0</v>
      </c>
      <c r="U87" s="44" t="n">
        <v>0</v>
      </c>
      <c r="V87" s="44" t="n">
        <v>0</v>
      </c>
      <c r="W87" s="44" t="n">
        <v>0</v>
      </c>
      <c r="X87" s="44" t="n">
        <v>0</v>
      </c>
      <c r="Y87" s="44" t="n">
        <v>0</v>
      </c>
    </row>
    <row r="88" customFormat="false" ht="15" hidden="false" customHeight="true" outlineLevel="0" collapsed="false">
      <c r="A88" s="14" t="s">
        <v>185</v>
      </c>
      <c r="C88" s="44" t="n">
        <v>0.2407</v>
      </c>
      <c r="D88" s="44" t="n">
        <v>0.5151</v>
      </c>
      <c r="E88" s="44" t="n">
        <v>0.8279</v>
      </c>
      <c r="F88" s="44" t="n">
        <v>1.1845</v>
      </c>
      <c r="G88" s="44" t="n">
        <v>1.591</v>
      </c>
      <c r="H88" s="44" t="n">
        <v>1.8138</v>
      </c>
      <c r="I88" s="44" t="n">
        <v>1.5394</v>
      </c>
      <c r="J88" s="44" t="n">
        <v>1.2266</v>
      </c>
      <c r="K88" s="44" t="n">
        <v>0.87</v>
      </c>
      <c r="L88" s="44" t="n">
        <v>0.4634</v>
      </c>
      <c r="M88" s="44" t="n">
        <v>0</v>
      </c>
      <c r="N88" s="44" t="n">
        <v>0</v>
      </c>
      <c r="O88" s="44" t="n">
        <v>0</v>
      </c>
      <c r="P88" s="44" t="n">
        <v>0</v>
      </c>
      <c r="Q88" s="44" t="n">
        <v>0</v>
      </c>
      <c r="R88" s="44" t="n">
        <v>0</v>
      </c>
      <c r="S88" s="44" t="n">
        <v>0</v>
      </c>
      <c r="T88" s="44" t="n">
        <v>0</v>
      </c>
      <c r="U88" s="44" t="n">
        <v>0</v>
      </c>
      <c r="V88" s="44" t="n">
        <v>0</v>
      </c>
      <c r="W88" s="44" t="n">
        <v>0</v>
      </c>
      <c r="X88" s="44" t="n">
        <v>0</v>
      </c>
      <c r="Y88" s="44" t="n">
        <v>0</v>
      </c>
    </row>
    <row r="89" customFormat="false" ht="15" hidden="false" customHeight="true" outlineLevel="0" collapsed="false">
      <c r="A89" s="14" t="s">
        <v>186</v>
      </c>
      <c r="C89" s="44" t="n">
        <v>0.1426</v>
      </c>
      <c r="D89" s="44" t="n">
        <v>0.3051</v>
      </c>
      <c r="E89" s="44" t="n">
        <v>0.4904</v>
      </c>
      <c r="F89" s="44" t="n">
        <v>0.7016</v>
      </c>
      <c r="G89" s="44" t="n">
        <v>0.9424</v>
      </c>
      <c r="H89" s="44" t="n">
        <v>1.0743</v>
      </c>
      <c r="I89" s="44" t="n">
        <v>0.9118</v>
      </c>
      <c r="J89" s="44" t="n">
        <v>0.7265</v>
      </c>
      <c r="K89" s="44" t="n">
        <v>0.5153</v>
      </c>
      <c r="L89" s="44" t="n">
        <v>0.2745</v>
      </c>
      <c r="M89" s="44" t="n">
        <v>0</v>
      </c>
      <c r="N89" s="44" t="n">
        <v>0</v>
      </c>
      <c r="O89" s="44" t="n">
        <v>0</v>
      </c>
      <c r="P89" s="44" t="n">
        <v>0</v>
      </c>
      <c r="Q89" s="44" t="n">
        <v>0</v>
      </c>
      <c r="R89" s="44" t="n">
        <v>0</v>
      </c>
      <c r="S89" s="44" t="n">
        <v>0</v>
      </c>
      <c r="T89" s="44" t="n">
        <v>0</v>
      </c>
      <c r="U89" s="44" t="n">
        <v>0</v>
      </c>
      <c r="V89" s="44" t="n">
        <v>0</v>
      </c>
      <c r="W89" s="44" t="n">
        <v>0</v>
      </c>
      <c r="X89" s="44" t="n">
        <v>0</v>
      </c>
      <c r="Y89" s="44" t="n">
        <v>0</v>
      </c>
    </row>
    <row r="90" customFormat="false" ht="15" hidden="false" customHeight="true" outlineLevel="0" collapsed="false">
      <c r="A90" s="14" t="s">
        <v>187</v>
      </c>
      <c r="C90" s="44" t="n">
        <v>0.0967</v>
      </c>
      <c r="D90" s="44" t="n">
        <v>0.207</v>
      </c>
      <c r="E90" s="44" t="n">
        <v>0.3327</v>
      </c>
      <c r="F90" s="44" t="n">
        <v>0.476</v>
      </c>
      <c r="G90" s="44" t="n">
        <v>0.6394</v>
      </c>
      <c r="H90" s="44" t="n">
        <v>0.7289</v>
      </c>
      <c r="I90" s="44" t="n">
        <v>0.6186</v>
      </c>
      <c r="J90" s="44" t="n">
        <v>0.4929</v>
      </c>
      <c r="K90" s="44" t="n">
        <v>0.3496</v>
      </c>
      <c r="L90" s="44" t="n">
        <v>0.1862</v>
      </c>
      <c r="M90" s="44" t="n">
        <v>0</v>
      </c>
      <c r="N90" s="44" t="n">
        <v>0</v>
      </c>
      <c r="O90" s="44" t="n">
        <v>0</v>
      </c>
      <c r="P90" s="44" t="n">
        <v>0</v>
      </c>
      <c r="Q90" s="44" t="n">
        <v>0</v>
      </c>
      <c r="R90" s="44" t="n">
        <v>0</v>
      </c>
      <c r="S90" s="44" t="n">
        <v>0</v>
      </c>
      <c r="T90" s="44" t="n">
        <v>0</v>
      </c>
      <c r="U90" s="44" t="n">
        <v>0</v>
      </c>
      <c r="V90" s="44" t="n">
        <v>0</v>
      </c>
      <c r="W90" s="44" t="n">
        <v>0</v>
      </c>
      <c r="X90" s="44" t="n">
        <v>0</v>
      </c>
      <c r="Y90" s="44" t="n">
        <v>0</v>
      </c>
    </row>
    <row r="91" customFormat="false" ht="15" hidden="false" customHeight="true" outlineLevel="0" collapsed="false">
      <c r="A91" s="14" t="s">
        <v>188</v>
      </c>
      <c r="C91" s="44" t="n">
        <v>0</v>
      </c>
      <c r="D91" s="44" t="n">
        <v>0</v>
      </c>
      <c r="E91" s="44" t="n">
        <v>0</v>
      </c>
      <c r="F91" s="44" t="n">
        <v>0</v>
      </c>
      <c r="G91" s="44" t="n">
        <v>0</v>
      </c>
      <c r="H91" s="44" t="n">
        <v>0</v>
      </c>
      <c r="I91" s="44" t="n">
        <v>0</v>
      </c>
      <c r="J91" s="44" t="n">
        <v>0</v>
      </c>
      <c r="K91" s="44" t="n">
        <v>0</v>
      </c>
      <c r="L91" s="44" t="n">
        <v>0</v>
      </c>
      <c r="M91" s="44" t="n">
        <v>0</v>
      </c>
      <c r="N91" s="44" t="n">
        <v>0</v>
      </c>
      <c r="O91" s="44" t="n">
        <v>0</v>
      </c>
      <c r="P91" s="44" t="n">
        <v>0</v>
      </c>
      <c r="Q91" s="44" t="n">
        <v>0</v>
      </c>
      <c r="R91" s="44" t="n">
        <v>0</v>
      </c>
      <c r="S91" s="44" t="n">
        <v>0</v>
      </c>
      <c r="T91" s="44" t="n">
        <v>0</v>
      </c>
      <c r="U91" s="44" t="n">
        <v>0</v>
      </c>
      <c r="V91" s="44" t="n">
        <v>0</v>
      </c>
      <c r="W91" s="44" t="n">
        <v>0</v>
      </c>
      <c r="X91" s="44" t="n">
        <v>0</v>
      </c>
      <c r="Y91" s="44" t="n">
        <v>0</v>
      </c>
    </row>
    <row r="92" customFormat="false" ht="15" hidden="false" customHeight="true" outlineLevel="0" collapsed="false">
      <c r="A92" s="14" t="s">
        <v>190</v>
      </c>
      <c r="C92" s="44" t="n">
        <v>0.0963</v>
      </c>
      <c r="D92" s="44" t="n">
        <v>0.1098</v>
      </c>
      <c r="E92" s="44" t="n">
        <v>0.1251</v>
      </c>
      <c r="F92" s="44" t="n">
        <v>0.1426</v>
      </c>
      <c r="G92" s="44" t="n">
        <v>0.1626</v>
      </c>
      <c r="H92" s="44" t="n">
        <v>0.1854</v>
      </c>
      <c r="I92" s="44" t="n">
        <v>0</v>
      </c>
      <c r="J92" s="44" t="n">
        <v>0</v>
      </c>
      <c r="K92" s="44" t="n">
        <v>0</v>
      </c>
      <c r="L92" s="44" t="n">
        <v>0</v>
      </c>
      <c r="M92" s="44" t="n">
        <v>0</v>
      </c>
      <c r="N92" s="44" t="n">
        <v>0</v>
      </c>
      <c r="O92" s="44" t="n">
        <v>0</v>
      </c>
      <c r="P92" s="44" t="n">
        <v>0</v>
      </c>
      <c r="Q92" s="44" t="n">
        <v>0</v>
      </c>
      <c r="R92" s="44" t="n">
        <v>0</v>
      </c>
      <c r="S92" s="44" t="n">
        <v>0</v>
      </c>
      <c r="T92" s="44" t="n">
        <v>0</v>
      </c>
      <c r="U92" s="44" t="n">
        <v>0</v>
      </c>
      <c r="V92" s="44" t="n">
        <v>0</v>
      </c>
      <c r="W92" s="44" t="n">
        <v>0</v>
      </c>
      <c r="X92" s="44" t="n">
        <v>0</v>
      </c>
      <c r="Y92" s="44" t="n">
        <v>0</v>
      </c>
    </row>
    <row r="94" customFormat="false" ht="15" hidden="false" customHeight="true" outlineLevel="0" collapsed="false">
      <c r="A94" s="43" t="s">
        <v>94</v>
      </c>
      <c r="B94" s="6"/>
      <c r="C94" s="6"/>
      <c r="D94" s="6"/>
      <c r="E94" s="6"/>
      <c r="F94" s="6"/>
      <c r="G94" s="6"/>
      <c r="H94" s="6"/>
      <c r="I94" s="6"/>
      <c r="J94" s="6"/>
      <c r="K94" s="6"/>
      <c r="L94" s="6"/>
      <c r="M94" s="6"/>
      <c r="N94" s="6"/>
      <c r="O94" s="6"/>
      <c r="P94" s="6"/>
      <c r="Q94" s="6"/>
      <c r="R94" s="6"/>
      <c r="S94" s="6"/>
      <c r="T94" s="6"/>
      <c r="U94" s="6"/>
      <c r="V94" s="6"/>
      <c r="W94" s="6"/>
      <c r="X94" s="6"/>
      <c r="Y94" s="6"/>
    </row>
    <row r="95" customFormat="false" ht="15" hidden="false" customHeight="true" outlineLevel="0" collapsed="false">
      <c r="A95" s="14" t="s">
        <v>183</v>
      </c>
      <c r="C95" s="44" t="n">
        <v>2.4096</v>
      </c>
      <c r="D95" s="44" t="n">
        <v>2.7469</v>
      </c>
      <c r="E95" s="44" t="n">
        <v>3.1315</v>
      </c>
      <c r="F95" s="44" t="n">
        <v>3.5699</v>
      </c>
      <c r="G95" s="44" t="n">
        <v>4.0697</v>
      </c>
      <c r="H95" s="44" t="n">
        <v>0</v>
      </c>
      <c r="I95" s="44" t="n">
        <v>0</v>
      </c>
      <c r="J95" s="44" t="n">
        <v>0</v>
      </c>
      <c r="K95" s="44" t="n">
        <v>0</v>
      </c>
      <c r="L95" s="44" t="n">
        <v>0</v>
      </c>
      <c r="M95" s="44" t="n">
        <v>0</v>
      </c>
      <c r="N95" s="44" t="n">
        <v>0</v>
      </c>
      <c r="O95" s="44" t="n">
        <v>0</v>
      </c>
      <c r="P95" s="44" t="n">
        <v>0</v>
      </c>
      <c r="Q95" s="44" t="n">
        <v>0</v>
      </c>
      <c r="R95" s="44" t="n">
        <v>0</v>
      </c>
      <c r="S95" s="44" t="n">
        <v>0</v>
      </c>
      <c r="T95" s="44" t="n">
        <v>0</v>
      </c>
      <c r="U95" s="44" t="n">
        <v>0</v>
      </c>
      <c r="V95" s="44" t="n">
        <v>0</v>
      </c>
      <c r="W95" s="44" t="n">
        <v>0</v>
      </c>
      <c r="X95" s="44" t="n">
        <v>0</v>
      </c>
      <c r="Y95" s="44" t="n">
        <v>0</v>
      </c>
    </row>
    <row r="96" customFormat="false" ht="15" hidden="false" customHeight="true" outlineLevel="0" collapsed="false">
      <c r="A96" s="14" t="s">
        <v>184</v>
      </c>
      <c r="C96" s="44" t="n">
        <v>0.241</v>
      </c>
      <c r="D96" s="44" t="n">
        <v>0.5458</v>
      </c>
      <c r="E96" s="44" t="n">
        <v>0.8933</v>
      </c>
      <c r="F96" s="44" t="n">
        <v>1.2894</v>
      </c>
      <c r="G96" s="44" t="n">
        <v>1.741</v>
      </c>
      <c r="H96" s="44" t="n">
        <v>1.7919</v>
      </c>
      <c r="I96" s="44" t="n">
        <v>1.7919</v>
      </c>
      <c r="J96" s="44" t="n">
        <v>1.7919</v>
      </c>
      <c r="K96" s="44" t="n">
        <v>1.7919</v>
      </c>
      <c r="L96" s="44" t="n">
        <v>1.5208</v>
      </c>
      <c r="M96" s="44" t="n">
        <v>1.2118</v>
      </c>
      <c r="N96" s="44" t="n">
        <v>0.8595</v>
      </c>
      <c r="O96" s="44" t="n">
        <v>0.4578</v>
      </c>
      <c r="P96" s="44" t="n">
        <v>0</v>
      </c>
      <c r="Q96" s="44" t="n">
        <v>0</v>
      </c>
      <c r="R96" s="44" t="n">
        <v>0</v>
      </c>
      <c r="S96" s="44" t="n">
        <v>0</v>
      </c>
      <c r="T96" s="44" t="n">
        <v>0</v>
      </c>
      <c r="U96" s="44" t="n">
        <v>0</v>
      </c>
      <c r="V96" s="44" t="n">
        <v>0</v>
      </c>
      <c r="W96" s="44" t="n">
        <v>0</v>
      </c>
      <c r="X96" s="44" t="n">
        <v>0</v>
      </c>
      <c r="Y96" s="44" t="n">
        <v>0</v>
      </c>
    </row>
    <row r="97" customFormat="false" ht="15" hidden="false" customHeight="true" outlineLevel="0" collapsed="false">
      <c r="A97" s="14" t="s">
        <v>185</v>
      </c>
      <c r="C97" s="44" t="n">
        <v>0.6024</v>
      </c>
      <c r="D97" s="44" t="n">
        <v>1.2891</v>
      </c>
      <c r="E97" s="44" t="n">
        <v>2.072</v>
      </c>
      <c r="F97" s="44" t="n">
        <v>2.9645</v>
      </c>
      <c r="G97" s="44" t="n">
        <v>3.3795</v>
      </c>
      <c r="H97" s="44" t="n">
        <v>2.6928</v>
      </c>
      <c r="I97" s="44" t="n">
        <v>1.9099</v>
      </c>
      <c r="J97" s="44" t="n">
        <v>1.0174</v>
      </c>
      <c r="K97" s="44" t="n">
        <v>0</v>
      </c>
      <c r="L97" s="44" t="n">
        <v>0</v>
      </c>
      <c r="M97" s="44" t="n">
        <v>0</v>
      </c>
      <c r="N97" s="44" t="n">
        <v>0</v>
      </c>
      <c r="O97" s="44" t="n">
        <v>0</v>
      </c>
      <c r="P97" s="44" t="n">
        <v>0</v>
      </c>
      <c r="Q97" s="44" t="n">
        <v>0</v>
      </c>
      <c r="R97" s="44" t="n">
        <v>0</v>
      </c>
      <c r="S97" s="44" t="n">
        <v>0</v>
      </c>
      <c r="T97" s="44" t="n">
        <v>0</v>
      </c>
      <c r="U97" s="44" t="n">
        <v>0</v>
      </c>
      <c r="V97" s="44" t="n">
        <v>0</v>
      </c>
      <c r="W97" s="44" t="n">
        <v>0</v>
      </c>
      <c r="X97" s="44" t="n">
        <v>0</v>
      </c>
      <c r="Y97" s="44" t="n">
        <v>0</v>
      </c>
    </row>
    <row r="98" customFormat="false" ht="15" hidden="false" customHeight="true" outlineLevel="0" collapsed="false">
      <c r="A98" s="14" t="s">
        <v>186</v>
      </c>
      <c r="C98" s="44" t="n">
        <v>0.354</v>
      </c>
      <c r="D98" s="44" t="n">
        <v>0.7576</v>
      </c>
      <c r="E98" s="44" t="n">
        <v>1.2176</v>
      </c>
      <c r="F98" s="44" t="n">
        <v>1.7421</v>
      </c>
      <c r="G98" s="44" t="n">
        <v>1.986</v>
      </c>
      <c r="H98" s="44" t="n">
        <v>1.5824</v>
      </c>
      <c r="I98" s="44" t="n">
        <v>1.1224</v>
      </c>
      <c r="J98" s="44" t="n">
        <v>0.5979</v>
      </c>
      <c r="K98" s="44" t="n">
        <v>0</v>
      </c>
      <c r="L98" s="44" t="n">
        <v>0</v>
      </c>
      <c r="M98" s="44" t="n">
        <v>0</v>
      </c>
      <c r="N98" s="44" t="n">
        <v>0</v>
      </c>
      <c r="O98" s="44" t="n">
        <v>0</v>
      </c>
      <c r="P98" s="44" t="n">
        <v>0</v>
      </c>
      <c r="Q98" s="44" t="n">
        <v>0</v>
      </c>
      <c r="R98" s="44" t="n">
        <v>0</v>
      </c>
      <c r="S98" s="44" t="n">
        <v>0</v>
      </c>
      <c r="T98" s="44" t="n">
        <v>0</v>
      </c>
      <c r="U98" s="44" t="n">
        <v>0</v>
      </c>
      <c r="V98" s="44" t="n">
        <v>0</v>
      </c>
      <c r="W98" s="44" t="n">
        <v>0</v>
      </c>
      <c r="X98" s="44" t="n">
        <v>0</v>
      </c>
      <c r="Y98" s="44" t="n">
        <v>0</v>
      </c>
    </row>
    <row r="99" customFormat="false" ht="15" hidden="false" customHeight="true" outlineLevel="0" collapsed="false">
      <c r="A99" s="14" t="s">
        <v>187</v>
      </c>
      <c r="C99" s="44" t="n">
        <v>0.279</v>
      </c>
      <c r="D99" s="44" t="n">
        <v>0.5971</v>
      </c>
      <c r="E99" s="44" t="n">
        <v>0.9596</v>
      </c>
      <c r="F99" s="44" t="n">
        <v>1.373</v>
      </c>
      <c r="G99" s="44" t="n">
        <v>1.5652</v>
      </c>
      <c r="H99" s="44" t="n">
        <v>1.2472</v>
      </c>
      <c r="I99" s="44" t="n">
        <v>0.8846</v>
      </c>
      <c r="J99" s="44" t="n">
        <v>0.4712</v>
      </c>
      <c r="K99" s="44" t="n">
        <v>0</v>
      </c>
      <c r="L99" s="44" t="n">
        <v>0</v>
      </c>
      <c r="M99" s="44" t="n">
        <v>0</v>
      </c>
      <c r="N99" s="44" t="n">
        <v>0</v>
      </c>
      <c r="O99" s="44" t="n">
        <v>0</v>
      </c>
      <c r="P99" s="44" t="n">
        <v>0</v>
      </c>
      <c r="Q99" s="44" t="n">
        <v>0</v>
      </c>
      <c r="R99" s="44" t="n">
        <v>0</v>
      </c>
      <c r="S99" s="44" t="n">
        <v>0</v>
      </c>
      <c r="T99" s="44" t="n">
        <v>0</v>
      </c>
      <c r="U99" s="44" t="n">
        <v>0</v>
      </c>
      <c r="V99" s="44" t="n">
        <v>0</v>
      </c>
      <c r="W99" s="44" t="n">
        <v>0</v>
      </c>
      <c r="X99" s="44" t="n">
        <v>0</v>
      </c>
      <c r="Y99" s="44" t="n">
        <v>0</v>
      </c>
    </row>
    <row r="100" customFormat="false" ht="15" hidden="false" customHeight="true" outlineLevel="0" collapsed="false">
      <c r="A100" s="14" t="s">
        <v>188</v>
      </c>
      <c r="C100" s="44" t="n">
        <v>0</v>
      </c>
      <c r="D100" s="44" t="n">
        <v>0</v>
      </c>
      <c r="E100" s="44" t="n">
        <v>0</v>
      </c>
      <c r="F100" s="44" t="n">
        <v>0</v>
      </c>
      <c r="G100" s="44" t="n">
        <v>0</v>
      </c>
      <c r="H100" s="44" t="n">
        <v>0</v>
      </c>
      <c r="I100" s="44" t="n">
        <v>0</v>
      </c>
      <c r="J100" s="44" t="n">
        <v>0</v>
      </c>
      <c r="K100" s="44" t="n">
        <v>0</v>
      </c>
      <c r="L100" s="44" t="n">
        <v>0</v>
      </c>
      <c r="M100" s="44" t="n">
        <v>0</v>
      </c>
      <c r="N100" s="44" t="n">
        <v>0</v>
      </c>
      <c r="O100" s="44" t="n">
        <v>0</v>
      </c>
      <c r="P100" s="44" t="n">
        <v>0</v>
      </c>
      <c r="Q100" s="44" t="n">
        <v>0</v>
      </c>
      <c r="R100" s="44" t="n">
        <v>0</v>
      </c>
      <c r="S100" s="44" t="n">
        <v>0</v>
      </c>
      <c r="T100" s="44" t="n">
        <v>0</v>
      </c>
      <c r="U100" s="44" t="n">
        <v>0</v>
      </c>
      <c r="V100" s="44" t="n">
        <v>0</v>
      </c>
      <c r="W100" s="44" t="n">
        <v>0</v>
      </c>
      <c r="X100" s="44" t="n">
        <v>0</v>
      </c>
      <c r="Y100" s="44" t="n">
        <v>0</v>
      </c>
    </row>
    <row r="101" customFormat="false" ht="15" hidden="false" customHeight="true" outlineLevel="0" collapsed="false">
      <c r="A101" s="14" t="s">
        <v>190</v>
      </c>
      <c r="C101" s="44" t="n">
        <v>0.1687</v>
      </c>
      <c r="D101" s="44" t="n">
        <v>0.1923</v>
      </c>
      <c r="E101" s="44" t="n">
        <v>0.2192</v>
      </c>
      <c r="F101" s="44" t="n">
        <v>0.2499</v>
      </c>
      <c r="G101" s="44" t="n">
        <v>0.2849</v>
      </c>
      <c r="H101" s="44" t="n">
        <v>0</v>
      </c>
      <c r="I101" s="44" t="n">
        <v>0</v>
      </c>
      <c r="J101" s="44" t="n">
        <v>0</v>
      </c>
      <c r="K101" s="44" t="n">
        <v>0</v>
      </c>
      <c r="L101" s="44" t="n">
        <v>0</v>
      </c>
      <c r="M101" s="44" t="n">
        <v>0</v>
      </c>
      <c r="N101" s="44" t="n">
        <v>0</v>
      </c>
      <c r="O101" s="44" t="n">
        <v>0</v>
      </c>
      <c r="P101" s="44" t="n">
        <v>0</v>
      </c>
      <c r="Q101" s="44" t="n">
        <v>0</v>
      </c>
      <c r="R101" s="44" t="n">
        <v>0</v>
      </c>
      <c r="S101" s="44" t="n">
        <v>0</v>
      </c>
      <c r="T101" s="44" t="n">
        <v>0</v>
      </c>
      <c r="U101" s="44" t="n">
        <v>0</v>
      </c>
      <c r="V101" s="44" t="n">
        <v>0</v>
      </c>
      <c r="W101" s="44" t="n">
        <v>0</v>
      </c>
      <c r="X101" s="44" t="n">
        <v>0</v>
      </c>
      <c r="Y101" s="44" t="n">
        <v>0</v>
      </c>
    </row>
    <row r="103" customFormat="false" ht="15" hidden="false" customHeight="true" outlineLevel="0" collapsed="false">
      <c r="A103" s="43" t="s">
        <v>96</v>
      </c>
      <c r="B103" s="6"/>
      <c r="C103" s="6"/>
      <c r="D103" s="6"/>
      <c r="E103" s="6"/>
      <c r="F103" s="6"/>
      <c r="G103" s="6"/>
      <c r="H103" s="6"/>
      <c r="I103" s="6"/>
      <c r="J103" s="6"/>
      <c r="K103" s="6"/>
      <c r="L103" s="6"/>
      <c r="M103" s="6"/>
      <c r="N103" s="6"/>
      <c r="O103" s="6"/>
      <c r="P103" s="6"/>
      <c r="Q103" s="6"/>
      <c r="R103" s="6"/>
      <c r="S103" s="6"/>
      <c r="T103" s="6"/>
      <c r="U103" s="6"/>
      <c r="V103" s="6"/>
      <c r="W103" s="6"/>
      <c r="X103" s="6"/>
      <c r="Y103" s="6"/>
    </row>
    <row r="104" customFormat="false" ht="15" hidden="false" customHeight="true" outlineLevel="0" collapsed="false">
      <c r="A104" s="14" t="s">
        <v>183</v>
      </c>
      <c r="C104" s="44" t="n">
        <v>4.725</v>
      </c>
      <c r="D104" s="44" t="n">
        <v>5.3865</v>
      </c>
      <c r="E104" s="44" t="n">
        <v>6.1406</v>
      </c>
      <c r="F104" s="44" t="n">
        <v>7.0003</v>
      </c>
      <c r="G104" s="44" t="n">
        <v>0</v>
      </c>
      <c r="H104" s="44" t="n">
        <v>0</v>
      </c>
      <c r="I104" s="44" t="n">
        <v>0</v>
      </c>
      <c r="J104" s="44" t="n">
        <v>0</v>
      </c>
      <c r="K104" s="44" t="n">
        <v>0</v>
      </c>
      <c r="L104" s="44" t="n">
        <v>0</v>
      </c>
      <c r="M104" s="44" t="n">
        <v>0</v>
      </c>
      <c r="N104" s="44" t="n">
        <v>0</v>
      </c>
      <c r="O104" s="44" t="n">
        <v>0</v>
      </c>
      <c r="P104" s="44" t="n">
        <v>0</v>
      </c>
      <c r="Q104" s="44" t="n">
        <v>0</v>
      </c>
      <c r="R104" s="44" t="n">
        <v>0</v>
      </c>
      <c r="S104" s="44" t="n">
        <v>0</v>
      </c>
      <c r="T104" s="44" t="n">
        <v>0</v>
      </c>
      <c r="U104" s="44" t="n">
        <v>0</v>
      </c>
      <c r="V104" s="44" t="n">
        <v>0</v>
      </c>
      <c r="W104" s="44" t="n">
        <v>0</v>
      </c>
      <c r="X104" s="44" t="n">
        <v>0</v>
      </c>
      <c r="Y104" s="44" t="n">
        <v>0</v>
      </c>
    </row>
    <row r="105" customFormat="false" ht="15" hidden="false" customHeight="true" outlineLevel="0" collapsed="false">
      <c r="A105" s="14" t="s">
        <v>184</v>
      </c>
      <c r="C105" s="44" t="n">
        <v>0.4725</v>
      </c>
      <c r="D105" s="44" t="n">
        <v>1.0702</v>
      </c>
      <c r="E105" s="44" t="n">
        <v>1.7516</v>
      </c>
      <c r="F105" s="44" t="n">
        <v>2.5284</v>
      </c>
      <c r="G105" s="44" t="n">
        <v>2.6159</v>
      </c>
      <c r="H105" s="44" t="n">
        <v>2.6159</v>
      </c>
      <c r="I105" s="44" t="n">
        <v>2.6159</v>
      </c>
      <c r="J105" s="44" t="n">
        <v>2.6159</v>
      </c>
      <c r="K105" s="44" t="n">
        <v>2.6159</v>
      </c>
      <c r="L105" s="44" t="n">
        <v>2.0843</v>
      </c>
      <c r="M105" s="44" t="n">
        <v>1.4784</v>
      </c>
      <c r="N105" s="44" t="n">
        <v>0.7875</v>
      </c>
      <c r="O105" s="44" t="n">
        <v>0</v>
      </c>
      <c r="P105" s="44" t="n">
        <v>0</v>
      </c>
      <c r="Q105" s="44" t="n">
        <v>0</v>
      </c>
      <c r="R105" s="44" t="n">
        <v>0</v>
      </c>
      <c r="S105" s="44" t="n">
        <v>0</v>
      </c>
      <c r="T105" s="44" t="n">
        <v>0</v>
      </c>
      <c r="U105" s="44" t="n">
        <v>0</v>
      </c>
      <c r="V105" s="44" t="n">
        <v>0</v>
      </c>
      <c r="W105" s="44" t="n">
        <v>0</v>
      </c>
      <c r="X105" s="44" t="n">
        <v>0</v>
      </c>
      <c r="Y105" s="44" t="n">
        <v>0</v>
      </c>
    </row>
    <row r="106" customFormat="false" ht="15" hidden="false" customHeight="true" outlineLevel="0" collapsed="false">
      <c r="A106" s="14" t="s">
        <v>185</v>
      </c>
      <c r="C106" s="44" t="n">
        <v>1.1813</v>
      </c>
      <c r="D106" s="44" t="n">
        <v>2.5279</v>
      </c>
      <c r="E106" s="44" t="n">
        <v>4.063</v>
      </c>
      <c r="F106" s="44" t="n">
        <v>5.8131</v>
      </c>
      <c r="G106" s="44" t="n">
        <v>4.6319</v>
      </c>
      <c r="H106" s="44" t="n">
        <v>3.2852</v>
      </c>
      <c r="I106" s="44" t="n">
        <v>1.7501</v>
      </c>
      <c r="J106" s="44" t="n">
        <v>0</v>
      </c>
      <c r="K106" s="44" t="n">
        <v>0</v>
      </c>
      <c r="L106" s="44" t="n">
        <v>0</v>
      </c>
      <c r="M106" s="44" t="n">
        <v>0</v>
      </c>
      <c r="N106" s="44" t="n">
        <v>0</v>
      </c>
      <c r="O106" s="44" t="n">
        <v>0</v>
      </c>
      <c r="P106" s="44" t="n">
        <v>0</v>
      </c>
      <c r="Q106" s="44" t="n">
        <v>0</v>
      </c>
      <c r="R106" s="44" t="n">
        <v>0</v>
      </c>
      <c r="S106" s="44" t="n">
        <v>0</v>
      </c>
      <c r="T106" s="44" t="n">
        <v>0</v>
      </c>
      <c r="U106" s="44" t="n">
        <v>0</v>
      </c>
      <c r="V106" s="44" t="n">
        <v>0</v>
      </c>
      <c r="W106" s="44" t="n">
        <v>0</v>
      </c>
      <c r="X106" s="44" t="n">
        <v>0</v>
      </c>
      <c r="Y106" s="44" t="n">
        <v>0</v>
      </c>
    </row>
    <row r="107" customFormat="false" ht="15" hidden="false" customHeight="true" outlineLevel="0" collapsed="false">
      <c r="A107" s="14" t="s">
        <v>186</v>
      </c>
      <c r="C107" s="44" t="n">
        <v>0.6121</v>
      </c>
      <c r="D107" s="44" t="n">
        <v>1.31</v>
      </c>
      <c r="E107" s="44" t="n">
        <v>2.1055</v>
      </c>
      <c r="F107" s="44" t="n">
        <v>3.0124</v>
      </c>
      <c r="G107" s="44" t="n">
        <v>2.4003</v>
      </c>
      <c r="H107" s="44" t="n">
        <v>1.7025</v>
      </c>
      <c r="I107" s="44" t="n">
        <v>0.9069</v>
      </c>
      <c r="J107" s="44" t="n">
        <v>0</v>
      </c>
      <c r="K107" s="44" t="n">
        <v>0</v>
      </c>
      <c r="L107" s="44" t="n">
        <v>0</v>
      </c>
      <c r="M107" s="44" t="n">
        <v>0</v>
      </c>
      <c r="N107" s="44" t="n">
        <v>0</v>
      </c>
      <c r="O107" s="44" t="n">
        <v>0</v>
      </c>
      <c r="P107" s="44" t="n">
        <v>0</v>
      </c>
      <c r="Q107" s="44" t="n">
        <v>0</v>
      </c>
      <c r="R107" s="44" t="n">
        <v>0</v>
      </c>
      <c r="S107" s="44" t="n">
        <v>0</v>
      </c>
      <c r="T107" s="44" t="n">
        <v>0</v>
      </c>
      <c r="U107" s="44" t="n">
        <v>0</v>
      </c>
      <c r="V107" s="44" t="n">
        <v>0</v>
      </c>
      <c r="W107" s="44" t="n">
        <v>0</v>
      </c>
      <c r="X107" s="44" t="n">
        <v>0</v>
      </c>
      <c r="Y107" s="44" t="n">
        <v>0</v>
      </c>
    </row>
    <row r="108" customFormat="false" ht="15" hidden="false" customHeight="true" outlineLevel="0" collapsed="false">
      <c r="A108" s="14" t="s">
        <v>187</v>
      </c>
      <c r="C108" s="44" t="n">
        <v>0.4715</v>
      </c>
      <c r="D108" s="44" t="n">
        <v>1.009</v>
      </c>
      <c r="E108" s="44" t="n">
        <v>1.6218</v>
      </c>
      <c r="F108" s="44" t="n">
        <v>2.3204</v>
      </c>
      <c r="G108" s="44" t="n">
        <v>1.8489</v>
      </c>
      <c r="H108" s="44" t="n">
        <v>1.3114</v>
      </c>
      <c r="I108" s="44" t="n">
        <v>0.6986</v>
      </c>
      <c r="J108" s="44" t="n">
        <v>0</v>
      </c>
      <c r="K108" s="44" t="n">
        <v>0</v>
      </c>
      <c r="L108" s="44" t="n">
        <v>0</v>
      </c>
      <c r="M108" s="44" t="n">
        <v>0</v>
      </c>
      <c r="N108" s="44" t="n">
        <v>0</v>
      </c>
      <c r="O108" s="44" t="n">
        <v>0</v>
      </c>
      <c r="P108" s="44" t="n">
        <v>0</v>
      </c>
      <c r="Q108" s="44" t="n">
        <v>0</v>
      </c>
      <c r="R108" s="44" t="n">
        <v>0</v>
      </c>
      <c r="S108" s="44" t="n">
        <v>0</v>
      </c>
      <c r="T108" s="44" t="n">
        <v>0</v>
      </c>
      <c r="U108" s="44" t="n">
        <v>0</v>
      </c>
      <c r="V108" s="44" t="n">
        <v>0</v>
      </c>
      <c r="W108" s="44" t="n">
        <v>0</v>
      </c>
      <c r="X108" s="44" t="n">
        <v>0</v>
      </c>
      <c r="Y108" s="44" t="n">
        <v>0</v>
      </c>
    </row>
    <row r="109" customFormat="false" ht="15" hidden="false" customHeight="true" outlineLevel="0" collapsed="false">
      <c r="A109" s="14" t="s">
        <v>188</v>
      </c>
      <c r="C109" s="44" t="n">
        <v>0</v>
      </c>
      <c r="D109" s="44" t="n">
        <v>0</v>
      </c>
      <c r="E109" s="44" t="n">
        <v>0</v>
      </c>
      <c r="F109" s="44" t="n">
        <v>0</v>
      </c>
      <c r="G109" s="44" t="n">
        <v>0</v>
      </c>
      <c r="H109" s="44" t="n">
        <v>0</v>
      </c>
      <c r="I109" s="44" t="n">
        <v>0</v>
      </c>
      <c r="J109" s="44" t="n">
        <v>0</v>
      </c>
      <c r="K109" s="44" t="n">
        <v>0</v>
      </c>
      <c r="L109" s="44" t="n">
        <v>0</v>
      </c>
      <c r="M109" s="44" t="n">
        <v>0</v>
      </c>
      <c r="N109" s="44" t="n">
        <v>0</v>
      </c>
      <c r="O109" s="44" t="n">
        <v>0</v>
      </c>
      <c r="P109" s="44" t="n">
        <v>0</v>
      </c>
      <c r="Q109" s="44" t="n">
        <v>0</v>
      </c>
      <c r="R109" s="44" t="n">
        <v>0</v>
      </c>
      <c r="S109" s="44" t="n">
        <v>0</v>
      </c>
      <c r="T109" s="44" t="n">
        <v>0</v>
      </c>
      <c r="U109" s="44" t="n">
        <v>0</v>
      </c>
      <c r="V109" s="44" t="n">
        <v>0</v>
      </c>
      <c r="W109" s="44" t="n">
        <v>0</v>
      </c>
      <c r="X109" s="44" t="n">
        <v>0</v>
      </c>
      <c r="Y109" s="44" t="n">
        <v>0</v>
      </c>
    </row>
    <row r="110" customFormat="false" ht="15" hidden="false" customHeight="true" outlineLevel="0" collapsed="false">
      <c r="A110" s="14" t="s">
        <v>190</v>
      </c>
      <c r="C110" s="44" t="n">
        <v>0.2835</v>
      </c>
      <c r="D110" s="44" t="n">
        <v>0.3232</v>
      </c>
      <c r="E110" s="44" t="n">
        <v>0.3684</v>
      </c>
      <c r="F110" s="44" t="n">
        <v>0.42</v>
      </c>
      <c r="G110" s="44" t="n">
        <v>0</v>
      </c>
      <c r="H110" s="44" t="n">
        <v>0</v>
      </c>
      <c r="I110" s="44" t="n">
        <v>0</v>
      </c>
      <c r="J110" s="44" t="n">
        <v>0</v>
      </c>
      <c r="K110" s="44" t="n">
        <v>0</v>
      </c>
      <c r="L110" s="44" t="n">
        <v>0</v>
      </c>
      <c r="M110" s="44" t="n">
        <v>0</v>
      </c>
      <c r="N110" s="44" t="n">
        <v>0</v>
      </c>
      <c r="O110" s="44" t="n">
        <v>0</v>
      </c>
      <c r="P110" s="44" t="n">
        <v>0</v>
      </c>
      <c r="Q110" s="44" t="n">
        <v>0</v>
      </c>
      <c r="R110" s="44" t="n">
        <v>0</v>
      </c>
      <c r="S110" s="44" t="n">
        <v>0</v>
      </c>
      <c r="T110" s="44" t="n">
        <v>0</v>
      </c>
      <c r="U110" s="44" t="n">
        <v>0</v>
      </c>
      <c r="V110" s="44" t="n">
        <v>0</v>
      </c>
      <c r="W110" s="44" t="n">
        <v>0</v>
      </c>
      <c r="X110" s="44" t="n">
        <v>0</v>
      </c>
      <c r="Y110" s="44" t="n">
        <v>0</v>
      </c>
    </row>
    <row r="112" customFormat="false" ht="15" hidden="false" customHeight="true" outlineLevel="0" collapsed="false">
      <c r="A112" s="43" t="s">
        <v>98</v>
      </c>
      <c r="B112" s="6"/>
      <c r="C112" s="6"/>
      <c r="D112" s="6"/>
      <c r="E112" s="6"/>
      <c r="F112" s="6"/>
      <c r="G112" s="6"/>
      <c r="H112" s="6"/>
      <c r="I112" s="6"/>
      <c r="J112" s="6"/>
      <c r="K112" s="6"/>
      <c r="L112" s="6"/>
      <c r="M112" s="6"/>
      <c r="N112" s="6"/>
      <c r="O112" s="6"/>
      <c r="P112" s="6"/>
      <c r="Q112" s="6"/>
      <c r="R112" s="6"/>
      <c r="S112" s="6"/>
      <c r="T112" s="6"/>
      <c r="U112" s="6"/>
      <c r="V112" s="6"/>
      <c r="W112" s="6"/>
      <c r="X112" s="6"/>
      <c r="Y112" s="6"/>
    </row>
    <row r="113" customFormat="false" ht="15" hidden="false" customHeight="true" outlineLevel="0" collapsed="false">
      <c r="A113" s="14" t="s">
        <v>183</v>
      </c>
      <c r="C113" s="44" t="n">
        <v>0</v>
      </c>
      <c r="D113" s="44" t="n">
        <v>22.7063</v>
      </c>
      <c r="E113" s="44" t="n">
        <v>25.8852</v>
      </c>
      <c r="F113" s="44" t="n">
        <v>29.5091</v>
      </c>
      <c r="G113" s="44" t="n">
        <v>33.6403</v>
      </c>
      <c r="H113" s="44" t="n">
        <v>38.35</v>
      </c>
      <c r="I113" s="44" t="n">
        <v>43.719</v>
      </c>
      <c r="J113" s="44" t="n">
        <v>49.8397</v>
      </c>
      <c r="K113" s="44" t="n">
        <v>56.8172</v>
      </c>
      <c r="L113" s="44" t="n">
        <v>0</v>
      </c>
      <c r="M113" s="44" t="n">
        <v>0</v>
      </c>
      <c r="N113" s="44" t="n">
        <v>0</v>
      </c>
      <c r="O113" s="44" t="n">
        <v>0</v>
      </c>
      <c r="P113" s="44" t="n">
        <v>0</v>
      </c>
      <c r="Q113" s="44" t="n">
        <v>0</v>
      </c>
      <c r="R113" s="44" t="n">
        <v>0</v>
      </c>
      <c r="S113" s="44" t="n">
        <v>0</v>
      </c>
      <c r="T113" s="44" t="n">
        <v>0</v>
      </c>
      <c r="U113" s="44" t="n">
        <v>0</v>
      </c>
      <c r="V113" s="44" t="n">
        <v>0</v>
      </c>
      <c r="W113" s="44" t="n">
        <v>0</v>
      </c>
      <c r="X113" s="44" t="n">
        <v>0</v>
      </c>
      <c r="Y113" s="44" t="n">
        <v>0</v>
      </c>
    </row>
    <row r="114" customFormat="false" ht="15" hidden="false" customHeight="true" outlineLevel="0" collapsed="false">
      <c r="A114" s="14" t="s">
        <v>184</v>
      </c>
      <c r="C114" s="44" t="n">
        <v>0</v>
      </c>
      <c r="D114" s="44" t="n">
        <v>2.2706</v>
      </c>
      <c r="E114" s="44" t="n">
        <v>3.8657</v>
      </c>
      <c r="F114" s="44" t="n">
        <v>5.6842</v>
      </c>
      <c r="G114" s="44" t="n">
        <v>7.7572</v>
      </c>
      <c r="H114" s="44" t="n">
        <v>10.1204</v>
      </c>
      <c r="I114" s="44" t="n">
        <v>12.8145</v>
      </c>
      <c r="J114" s="44" t="n">
        <v>15.8858</v>
      </c>
      <c r="K114" s="44" t="n">
        <v>19.387</v>
      </c>
      <c r="L114" s="44" t="n">
        <v>16.9013</v>
      </c>
      <c r="M114" s="44" t="n">
        <v>18.1785</v>
      </c>
      <c r="N114" s="44" t="n">
        <v>19.6345</v>
      </c>
      <c r="O114" s="44" t="n">
        <v>21.2944</v>
      </c>
      <c r="P114" s="44" t="n">
        <v>23.1867</v>
      </c>
      <c r="Q114" s="44" t="n">
        <v>22.7894</v>
      </c>
      <c r="R114" s="44" t="n">
        <v>22.3365</v>
      </c>
      <c r="S114" s="44" t="n">
        <v>21.8202</v>
      </c>
      <c r="T114" s="44" t="n">
        <v>21.2317</v>
      </c>
      <c r="U114" s="44" t="n">
        <v>16.9173</v>
      </c>
      <c r="V114" s="44" t="n">
        <v>11.9989</v>
      </c>
      <c r="W114" s="44" t="n">
        <v>6.3919</v>
      </c>
      <c r="X114" s="44" t="n">
        <v>0</v>
      </c>
      <c r="Y114" s="44" t="n">
        <v>0</v>
      </c>
    </row>
    <row r="115" customFormat="false" ht="15" hidden="false" customHeight="true" outlineLevel="0" collapsed="false">
      <c r="A115" s="14" t="s">
        <v>185</v>
      </c>
      <c r="C115" s="44" t="n">
        <v>0</v>
      </c>
      <c r="D115" s="44" t="n">
        <v>2.8383</v>
      </c>
      <c r="E115" s="44" t="n">
        <v>6.0739</v>
      </c>
      <c r="F115" s="44" t="n">
        <v>9.7626</v>
      </c>
      <c r="G115" s="44" t="n">
        <v>13.9676</v>
      </c>
      <c r="H115" s="44" t="n">
        <v>18.7614</v>
      </c>
      <c r="I115" s="44" t="n">
        <v>24.2262</v>
      </c>
      <c r="J115" s="44" t="n">
        <v>30.4562</v>
      </c>
      <c r="K115" s="44" t="n">
        <v>37.5583</v>
      </c>
      <c r="L115" s="44" t="n">
        <v>34.7201</v>
      </c>
      <c r="M115" s="44" t="n">
        <v>31.4844</v>
      </c>
      <c r="N115" s="44" t="n">
        <v>27.7958</v>
      </c>
      <c r="O115" s="44" t="n">
        <v>23.5907</v>
      </c>
      <c r="P115" s="44" t="n">
        <v>18.797</v>
      </c>
      <c r="Q115" s="44" t="n">
        <v>13.3321</v>
      </c>
      <c r="R115" s="44" t="n">
        <v>7.1022</v>
      </c>
      <c r="S115" s="44" t="n">
        <v>0</v>
      </c>
      <c r="T115" s="44" t="n">
        <v>0</v>
      </c>
      <c r="U115" s="44" t="n">
        <v>0</v>
      </c>
      <c r="V115" s="44" t="n">
        <v>0</v>
      </c>
      <c r="W115" s="44" t="n">
        <v>0</v>
      </c>
      <c r="X115" s="44" t="n">
        <v>0</v>
      </c>
      <c r="Y115" s="44" t="n">
        <v>0</v>
      </c>
    </row>
    <row r="116" customFormat="false" ht="15" hidden="false" customHeight="true" outlineLevel="0" collapsed="false">
      <c r="A116" s="14" t="s">
        <v>186</v>
      </c>
      <c r="C116" s="44" t="n">
        <v>0</v>
      </c>
      <c r="D116" s="44" t="n">
        <v>1.6152</v>
      </c>
      <c r="E116" s="44" t="n">
        <v>3.4565</v>
      </c>
      <c r="F116" s="44" t="n">
        <v>5.5556</v>
      </c>
      <c r="G116" s="44" t="n">
        <v>7.9486</v>
      </c>
      <c r="H116" s="44" t="n">
        <v>10.6767</v>
      </c>
      <c r="I116" s="44" t="n">
        <v>13.7866</v>
      </c>
      <c r="J116" s="44" t="n">
        <v>17.3319</v>
      </c>
      <c r="K116" s="44" t="n">
        <v>21.3736</v>
      </c>
      <c r="L116" s="44" t="n">
        <v>19.7584</v>
      </c>
      <c r="M116" s="44" t="n">
        <v>17.917</v>
      </c>
      <c r="N116" s="44" t="n">
        <v>15.8179</v>
      </c>
      <c r="O116" s="44" t="n">
        <v>13.4249</v>
      </c>
      <c r="P116" s="44" t="n">
        <v>10.6969</v>
      </c>
      <c r="Q116" s="44" t="n">
        <v>7.587</v>
      </c>
      <c r="R116" s="44" t="n">
        <v>4.0417</v>
      </c>
      <c r="S116" s="44" t="n">
        <v>0</v>
      </c>
      <c r="T116" s="44" t="n">
        <v>0</v>
      </c>
      <c r="U116" s="44" t="n">
        <v>0</v>
      </c>
      <c r="V116" s="44" t="n">
        <v>0</v>
      </c>
      <c r="W116" s="44" t="n">
        <v>0</v>
      </c>
      <c r="X116" s="44" t="n">
        <v>0</v>
      </c>
      <c r="Y116" s="44" t="n">
        <v>0</v>
      </c>
    </row>
    <row r="117" customFormat="false" ht="15" hidden="false" customHeight="true" outlineLevel="0" collapsed="false">
      <c r="A117" s="14" t="s">
        <v>187</v>
      </c>
      <c r="C117" s="44" t="n">
        <v>0</v>
      </c>
      <c r="D117" s="44" t="n">
        <v>0.8408</v>
      </c>
      <c r="E117" s="44" t="n">
        <v>1.7993</v>
      </c>
      <c r="F117" s="44" t="n">
        <v>2.8919</v>
      </c>
      <c r="G117" s="44" t="n">
        <v>4.1376</v>
      </c>
      <c r="H117" s="44" t="n">
        <v>5.5576</v>
      </c>
      <c r="I117" s="44" t="n">
        <v>7.1764</v>
      </c>
      <c r="J117" s="44" t="n">
        <v>9.0219</v>
      </c>
      <c r="K117" s="44" t="n">
        <v>11.1257</v>
      </c>
      <c r="L117" s="44" t="n">
        <v>10.285</v>
      </c>
      <c r="M117" s="44" t="n">
        <v>9.3265</v>
      </c>
      <c r="N117" s="44" t="n">
        <v>8.2338</v>
      </c>
      <c r="O117" s="44" t="n">
        <v>6.9882</v>
      </c>
      <c r="P117" s="44" t="n">
        <v>5.5681</v>
      </c>
      <c r="Q117" s="44" t="n">
        <v>3.9493</v>
      </c>
      <c r="R117" s="44" t="n">
        <v>2.1038</v>
      </c>
      <c r="S117" s="44" t="n">
        <v>0</v>
      </c>
      <c r="T117" s="44" t="n">
        <v>0</v>
      </c>
      <c r="U117" s="44" t="n">
        <v>0</v>
      </c>
      <c r="V117" s="44" t="n">
        <v>0</v>
      </c>
      <c r="W117" s="44" t="n">
        <v>0</v>
      </c>
      <c r="X117" s="44" t="n">
        <v>0</v>
      </c>
      <c r="Y117" s="44" t="n">
        <v>0</v>
      </c>
    </row>
    <row r="118" customFormat="false" ht="15" hidden="false" customHeight="true" outlineLevel="0" collapsed="false">
      <c r="A118" s="14" t="s">
        <v>188</v>
      </c>
      <c r="C118" s="44" t="n">
        <v>0</v>
      </c>
      <c r="D118" s="44" t="n">
        <v>0</v>
      </c>
      <c r="E118" s="44" t="n">
        <v>0</v>
      </c>
      <c r="F118" s="44" t="n">
        <v>0</v>
      </c>
      <c r="G118" s="44" t="n">
        <v>0</v>
      </c>
      <c r="H118" s="44" t="n">
        <v>0</v>
      </c>
      <c r="I118" s="44" t="n">
        <v>0</v>
      </c>
      <c r="J118" s="44" t="n">
        <v>0</v>
      </c>
      <c r="K118" s="44" t="n">
        <v>0</v>
      </c>
      <c r="L118" s="44" t="n">
        <v>0</v>
      </c>
      <c r="M118" s="44" t="n">
        <v>0</v>
      </c>
      <c r="N118" s="44" t="n">
        <v>0</v>
      </c>
      <c r="O118" s="44" t="n">
        <v>0</v>
      </c>
      <c r="P118" s="44" t="n">
        <v>0</v>
      </c>
      <c r="Q118" s="44" t="n">
        <v>0</v>
      </c>
      <c r="R118" s="44" t="n">
        <v>0</v>
      </c>
      <c r="S118" s="44" t="n">
        <v>0</v>
      </c>
      <c r="T118" s="44" t="n">
        <v>0</v>
      </c>
      <c r="U118" s="44" t="n">
        <v>0</v>
      </c>
      <c r="V118" s="44" t="n">
        <v>0</v>
      </c>
      <c r="W118" s="44" t="n">
        <v>0</v>
      </c>
      <c r="X118" s="44" t="n">
        <v>0</v>
      </c>
      <c r="Y118" s="44" t="n">
        <v>0</v>
      </c>
    </row>
    <row r="119" customFormat="false" ht="15" hidden="false" customHeight="true" outlineLevel="0" collapsed="false">
      <c r="A119" s="14" t="s">
        <v>190</v>
      </c>
      <c r="C119" s="44" t="n">
        <v>0</v>
      </c>
      <c r="D119" s="44" t="n">
        <v>1.3624</v>
      </c>
      <c r="E119" s="44" t="n">
        <v>1.5531</v>
      </c>
      <c r="F119" s="44" t="n">
        <v>1.7705</v>
      </c>
      <c r="G119" s="44" t="n">
        <v>2.0184</v>
      </c>
      <c r="H119" s="44" t="n">
        <v>2.301</v>
      </c>
      <c r="I119" s="44" t="n">
        <v>2.6231</v>
      </c>
      <c r="J119" s="44" t="n">
        <v>2.9904</v>
      </c>
      <c r="K119" s="44" t="n">
        <v>3.409</v>
      </c>
      <c r="L119" s="44" t="n">
        <v>0</v>
      </c>
      <c r="M119" s="44" t="n">
        <v>0</v>
      </c>
      <c r="N119" s="44" t="n">
        <v>0</v>
      </c>
      <c r="O119" s="44" t="n">
        <v>0</v>
      </c>
      <c r="P119" s="44" t="n">
        <v>0</v>
      </c>
      <c r="Q119" s="44" t="n">
        <v>0</v>
      </c>
      <c r="R119" s="44" t="n">
        <v>0</v>
      </c>
      <c r="S119" s="44" t="n">
        <v>0</v>
      </c>
      <c r="T119" s="44" t="n">
        <v>0</v>
      </c>
      <c r="U119" s="44" t="n">
        <v>0</v>
      </c>
      <c r="V119" s="44" t="n">
        <v>0</v>
      </c>
      <c r="W119" s="44" t="n">
        <v>0</v>
      </c>
      <c r="X119" s="44" t="n">
        <v>0</v>
      </c>
      <c r="Y119" s="44" t="n">
        <v>0</v>
      </c>
    </row>
    <row r="121" customFormat="false" ht="15" hidden="false" customHeight="true" outlineLevel="0" collapsed="false">
      <c r="A121" s="43" t="s">
        <v>100</v>
      </c>
      <c r="B121" s="6"/>
      <c r="C121" s="6"/>
      <c r="D121" s="6"/>
      <c r="E121" s="6"/>
      <c r="F121" s="6"/>
      <c r="G121" s="6"/>
      <c r="H121" s="6"/>
      <c r="I121" s="6"/>
      <c r="J121" s="6"/>
      <c r="K121" s="6"/>
      <c r="L121" s="6"/>
      <c r="M121" s="6"/>
      <c r="N121" s="6"/>
      <c r="O121" s="6"/>
      <c r="P121" s="6"/>
      <c r="Q121" s="6"/>
      <c r="R121" s="6"/>
      <c r="S121" s="6"/>
      <c r="T121" s="6"/>
      <c r="U121" s="6"/>
      <c r="V121" s="6"/>
      <c r="W121" s="6"/>
      <c r="X121" s="6"/>
      <c r="Y121" s="6"/>
    </row>
    <row r="122" customFormat="false" ht="15" hidden="false" customHeight="true" outlineLevel="0" collapsed="false">
      <c r="A122" s="14" t="s">
        <v>183</v>
      </c>
      <c r="C122" s="44" t="n">
        <v>0</v>
      </c>
      <c r="D122" s="44" t="n">
        <v>0</v>
      </c>
      <c r="E122" s="44" t="n">
        <v>16.9813</v>
      </c>
      <c r="F122" s="44" t="n">
        <v>19.3587</v>
      </c>
      <c r="G122" s="44" t="n">
        <v>22.0689</v>
      </c>
      <c r="H122" s="44" t="n">
        <v>25.1585</v>
      </c>
      <c r="I122" s="44" t="n">
        <v>28.6807</v>
      </c>
      <c r="J122" s="44" t="n">
        <v>32.696</v>
      </c>
      <c r="K122" s="44" t="n">
        <v>37.2735</v>
      </c>
      <c r="L122" s="44" t="n">
        <v>42.4918</v>
      </c>
      <c r="M122" s="44" t="n">
        <v>0</v>
      </c>
      <c r="N122" s="44" t="n">
        <v>0</v>
      </c>
      <c r="O122" s="44" t="n">
        <v>0</v>
      </c>
      <c r="P122" s="44" t="n">
        <v>0</v>
      </c>
      <c r="Q122" s="44" t="n">
        <v>0</v>
      </c>
      <c r="R122" s="44" t="n">
        <v>0</v>
      </c>
      <c r="S122" s="44" t="n">
        <v>0</v>
      </c>
      <c r="T122" s="44" t="n">
        <v>0</v>
      </c>
      <c r="U122" s="44" t="n">
        <v>0</v>
      </c>
      <c r="V122" s="44" t="n">
        <v>0</v>
      </c>
      <c r="W122" s="44" t="n">
        <v>0</v>
      </c>
      <c r="X122" s="44" t="n">
        <v>0</v>
      </c>
      <c r="Y122" s="44" t="n">
        <v>0</v>
      </c>
    </row>
    <row r="123" customFormat="false" ht="15" hidden="false" customHeight="true" outlineLevel="0" collapsed="false">
      <c r="A123" s="14" t="s">
        <v>184</v>
      </c>
      <c r="C123" s="44" t="n">
        <v>0</v>
      </c>
      <c r="D123" s="44" t="n">
        <v>0</v>
      </c>
      <c r="E123" s="44" t="n">
        <v>1.6981</v>
      </c>
      <c r="F123" s="44" t="n">
        <v>2.8911</v>
      </c>
      <c r="G123" s="44" t="n">
        <v>4.251</v>
      </c>
      <c r="H123" s="44" t="n">
        <v>5.8014</v>
      </c>
      <c r="I123" s="44" t="n">
        <v>7.5687</v>
      </c>
      <c r="J123" s="44" t="n">
        <v>9.5836</v>
      </c>
      <c r="K123" s="44" t="n">
        <v>11.8805</v>
      </c>
      <c r="L123" s="44" t="n">
        <v>14.4989</v>
      </c>
      <c r="M123" s="44" t="n">
        <v>12.6399</v>
      </c>
      <c r="N123" s="44" t="n">
        <v>13.5951</v>
      </c>
      <c r="O123" s="44" t="n">
        <v>14.684</v>
      </c>
      <c r="P123" s="44" t="n">
        <v>15.9254</v>
      </c>
      <c r="Q123" s="44" t="n">
        <v>17.3406</v>
      </c>
      <c r="R123" s="44" t="n">
        <v>17.0435</v>
      </c>
      <c r="S123" s="44" t="n">
        <v>16.7048</v>
      </c>
      <c r="T123" s="44" t="n">
        <v>16.3186</v>
      </c>
      <c r="U123" s="44" t="n">
        <v>15.8785</v>
      </c>
      <c r="V123" s="44" t="n">
        <v>12.6519</v>
      </c>
      <c r="W123" s="44" t="n">
        <v>8.9736</v>
      </c>
      <c r="X123" s="44" t="n">
        <v>4.7803</v>
      </c>
      <c r="Y123" s="44" t="n">
        <v>0</v>
      </c>
    </row>
    <row r="124" customFormat="false" ht="15" hidden="false" customHeight="true" outlineLevel="0" collapsed="false">
      <c r="A124" s="14" t="s">
        <v>185</v>
      </c>
      <c r="C124" s="44" t="n">
        <v>0</v>
      </c>
      <c r="D124" s="44" t="n">
        <v>0</v>
      </c>
      <c r="E124" s="44" t="n">
        <v>2.1227</v>
      </c>
      <c r="F124" s="44" t="n">
        <v>4.5425</v>
      </c>
      <c r="G124" s="44" t="n">
        <v>7.3011</v>
      </c>
      <c r="H124" s="44" t="n">
        <v>10.4459</v>
      </c>
      <c r="I124" s="44" t="n">
        <v>14.031</v>
      </c>
      <c r="J124" s="44" t="n">
        <v>18.118</v>
      </c>
      <c r="K124" s="44" t="n">
        <v>22.7772</v>
      </c>
      <c r="L124" s="44" t="n">
        <v>28.0887</v>
      </c>
      <c r="M124" s="44" t="n">
        <v>25.966</v>
      </c>
      <c r="N124" s="44" t="n">
        <v>23.5462</v>
      </c>
      <c r="O124" s="44" t="n">
        <v>20.7876</v>
      </c>
      <c r="P124" s="44" t="n">
        <v>17.6427</v>
      </c>
      <c r="Q124" s="44" t="n">
        <v>14.0577</v>
      </c>
      <c r="R124" s="44" t="n">
        <v>9.9707</v>
      </c>
      <c r="S124" s="44" t="n">
        <v>5.3115</v>
      </c>
      <c r="T124" s="44" t="n">
        <v>0</v>
      </c>
      <c r="U124" s="44" t="n">
        <v>0</v>
      </c>
      <c r="V124" s="44" t="n">
        <v>0</v>
      </c>
      <c r="W124" s="44" t="n">
        <v>0</v>
      </c>
      <c r="X124" s="44" t="n">
        <v>0</v>
      </c>
      <c r="Y124" s="44" t="n">
        <v>0</v>
      </c>
    </row>
    <row r="125" customFormat="false" ht="15" hidden="false" customHeight="true" outlineLevel="0" collapsed="false">
      <c r="A125" s="14" t="s">
        <v>186</v>
      </c>
      <c r="C125" s="44" t="n">
        <v>0</v>
      </c>
      <c r="D125" s="44" t="n">
        <v>0</v>
      </c>
      <c r="E125" s="44" t="n">
        <v>1.4353</v>
      </c>
      <c r="F125" s="44" t="n">
        <v>3.0716</v>
      </c>
      <c r="G125" s="44" t="n">
        <v>4.9369</v>
      </c>
      <c r="H125" s="44" t="n">
        <v>7.0634</v>
      </c>
      <c r="I125" s="44" t="n">
        <v>9.4875</v>
      </c>
      <c r="J125" s="44" t="n">
        <v>12.2511</v>
      </c>
      <c r="K125" s="44" t="n">
        <v>15.4016</v>
      </c>
      <c r="L125" s="44" t="n">
        <v>18.9931</v>
      </c>
      <c r="M125" s="44" t="n">
        <v>17.5578</v>
      </c>
      <c r="N125" s="44" t="n">
        <v>15.9215</v>
      </c>
      <c r="O125" s="44" t="n">
        <v>14.0562</v>
      </c>
      <c r="P125" s="44" t="n">
        <v>11.9297</v>
      </c>
      <c r="Q125" s="44" t="n">
        <v>9.5056</v>
      </c>
      <c r="R125" s="44" t="n">
        <v>6.742</v>
      </c>
      <c r="S125" s="44" t="n">
        <v>3.5915</v>
      </c>
      <c r="T125" s="44" t="n">
        <v>0</v>
      </c>
      <c r="U125" s="44" t="n">
        <v>0</v>
      </c>
      <c r="V125" s="44" t="n">
        <v>0</v>
      </c>
      <c r="W125" s="44" t="n">
        <v>0</v>
      </c>
      <c r="X125" s="44" t="n">
        <v>0</v>
      </c>
      <c r="Y125" s="44" t="n">
        <v>0</v>
      </c>
    </row>
    <row r="126" customFormat="false" ht="15" hidden="false" customHeight="true" outlineLevel="0" collapsed="false">
      <c r="A126" s="14" t="s">
        <v>187</v>
      </c>
      <c r="C126" s="44" t="n">
        <v>0</v>
      </c>
      <c r="D126" s="44" t="n">
        <v>0</v>
      </c>
      <c r="E126" s="44" t="n">
        <v>0.6862</v>
      </c>
      <c r="F126" s="44" t="n">
        <v>1.4685</v>
      </c>
      <c r="G126" s="44" t="n">
        <v>2.3603</v>
      </c>
      <c r="H126" s="44" t="n">
        <v>3.3769</v>
      </c>
      <c r="I126" s="44" t="n">
        <v>4.5359</v>
      </c>
      <c r="J126" s="44" t="n">
        <v>5.8571</v>
      </c>
      <c r="K126" s="44" t="n">
        <v>7.3633</v>
      </c>
      <c r="L126" s="44" t="n">
        <v>9.0804</v>
      </c>
      <c r="M126" s="44" t="n">
        <v>8.3942</v>
      </c>
      <c r="N126" s="44" t="n">
        <v>7.6119</v>
      </c>
      <c r="O126" s="44" t="n">
        <v>6.7201</v>
      </c>
      <c r="P126" s="44" t="n">
        <v>5.7035</v>
      </c>
      <c r="Q126" s="44" t="n">
        <v>4.5445</v>
      </c>
      <c r="R126" s="44" t="n">
        <v>3.2233</v>
      </c>
      <c r="S126" s="44" t="n">
        <v>1.7171</v>
      </c>
      <c r="T126" s="44" t="n">
        <v>0</v>
      </c>
      <c r="U126" s="44" t="n">
        <v>0</v>
      </c>
      <c r="V126" s="44" t="n">
        <v>0</v>
      </c>
      <c r="W126" s="44" t="n">
        <v>0</v>
      </c>
      <c r="X126" s="44" t="n">
        <v>0</v>
      </c>
      <c r="Y126" s="44" t="n">
        <v>0</v>
      </c>
    </row>
    <row r="127" customFormat="false" ht="15" hidden="false" customHeight="true" outlineLevel="0" collapsed="false">
      <c r="A127" s="14" t="s">
        <v>188</v>
      </c>
      <c r="C127" s="44" t="n">
        <v>0</v>
      </c>
      <c r="D127" s="44" t="n">
        <v>0</v>
      </c>
      <c r="E127" s="44" t="n">
        <v>0</v>
      </c>
      <c r="F127" s="44" t="n">
        <v>0</v>
      </c>
      <c r="G127" s="44" t="n">
        <v>0</v>
      </c>
      <c r="H127" s="44" t="n">
        <v>0</v>
      </c>
      <c r="I127" s="44" t="n">
        <v>0</v>
      </c>
      <c r="J127" s="44" t="n">
        <v>0</v>
      </c>
      <c r="K127" s="44" t="n">
        <v>0</v>
      </c>
      <c r="L127" s="44" t="n">
        <v>0</v>
      </c>
      <c r="M127" s="44" t="n">
        <v>0</v>
      </c>
      <c r="N127" s="44" t="n">
        <v>0</v>
      </c>
      <c r="O127" s="44" t="n">
        <v>0</v>
      </c>
      <c r="P127" s="44" t="n">
        <v>0</v>
      </c>
      <c r="Q127" s="44" t="n">
        <v>0</v>
      </c>
      <c r="R127" s="44" t="n">
        <v>0</v>
      </c>
      <c r="S127" s="44" t="n">
        <v>0</v>
      </c>
      <c r="T127" s="44" t="n">
        <v>0</v>
      </c>
      <c r="U127" s="44" t="n">
        <v>0</v>
      </c>
      <c r="V127" s="44" t="n">
        <v>0</v>
      </c>
      <c r="W127" s="44" t="n">
        <v>0</v>
      </c>
      <c r="X127" s="44" t="n">
        <v>0</v>
      </c>
      <c r="Y127" s="44" t="n">
        <v>0</v>
      </c>
    </row>
    <row r="128" customFormat="false" ht="15" hidden="false" customHeight="true" outlineLevel="0" collapsed="false">
      <c r="A128" s="14" t="s">
        <v>190</v>
      </c>
      <c r="C128" s="44" t="n">
        <v>0</v>
      </c>
      <c r="D128" s="44" t="n">
        <v>0</v>
      </c>
      <c r="E128" s="44" t="n">
        <v>1.0189</v>
      </c>
      <c r="F128" s="44" t="n">
        <v>1.1615</v>
      </c>
      <c r="G128" s="44" t="n">
        <v>1.3241</v>
      </c>
      <c r="H128" s="44" t="n">
        <v>1.5095</v>
      </c>
      <c r="I128" s="44" t="n">
        <v>1.7208</v>
      </c>
      <c r="J128" s="44" t="n">
        <v>1.9618</v>
      </c>
      <c r="K128" s="44" t="n">
        <v>2.2364</v>
      </c>
      <c r="L128" s="44" t="n">
        <v>2.5495</v>
      </c>
      <c r="M128" s="44" t="n">
        <v>0</v>
      </c>
      <c r="N128" s="44" t="n">
        <v>0</v>
      </c>
      <c r="O128" s="44" t="n">
        <v>0</v>
      </c>
      <c r="P128" s="44" t="n">
        <v>0</v>
      </c>
      <c r="Q128" s="44" t="n">
        <v>0</v>
      </c>
      <c r="R128" s="44" t="n">
        <v>0</v>
      </c>
      <c r="S128" s="44" t="n">
        <v>0</v>
      </c>
      <c r="T128" s="44" t="n">
        <v>0</v>
      </c>
      <c r="U128" s="44" t="n">
        <v>0</v>
      </c>
      <c r="V128" s="44" t="n">
        <v>0</v>
      </c>
      <c r="W128" s="44" t="n">
        <v>0</v>
      </c>
      <c r="X128" s="44" t="n">
        <v>0</v>
      </c>
      <c r="Y128" s="44" t="n">
        <v>0</v>
      </c>
    </row>
    <row r="130" customFormat="false" ht="15" hidden="false" customHeight="true" outlineLevel="0" collapsed="false">
      <c r="A130" s="43" t="s">
        <v>101</v>
      </c>
      <c r="B130" s="6"/>
      <c r="C130" s="6"/>
      <c r="D130" s="6"/>
      <c r="E130" s="6"/>
      <c r="F130" s="6"/>
      <c r="G130" s="6"/>
      <c r="H130" s="6"/>
      <c r="I130" s="6"/>
      <c r="J130" s="6"/>
      <c r="K130" s="6"/>
      <c r="L130" s="6"/>
      <c r="M130" s="6"/>
      <c r="N130" s="6"/>
      <c r="O130" s="6"/>
      <c r="P130" s="6"/>
      <c r="Q130" s="6"/>
      <c r="R130" s="6"/>
      <c r="S130" s="6"/>
      <c r="T130" s="6"/>
      <c r="U130" s="6"/>
      <c r="V130" s="6"/>
      <c r="W130" s="6"/>
      <c r="X130" s="6"/>
      <c r="Y130" s="6"/>
    </row>
    <row r="131" customFormat="false" ht="15" hidden="false" customHeight="true" outlineLevel="0" collapsed="false">
      <c r="A131" s="14" t="s">
        <v>183</v>
      </c>
      <c r="C131" s="44" t="n">
        <v>25.144</v>
      </c>
      <c r="D131" s="44" t="n">
        <v>28.6642</v>
      </c>
      <c r="E131" s="44" t="n">
        <v>32.6772</v>
      </c>
      <c r="F131" s="44" t="n">
        <v>37.252</v>
      </c>
      <c r="G131" s="44" t="n">
        <v>42.4672</v>
      </c>
      <c r="H131" s="44" t="n">
        <v>0</v>
      </c>
      <c r="I131" s="44" t="n">
        <v>0</v>
      </c>
      <c r="J131" s="44" t="n">
        <v>0</v>
      </c>
      <c r="K131" s="44" t="n">
        <v>0</v>
      </c>
      <c r="L131" s="44" t="n">
        <v>0</v>
      </c>
      <c r="M131" s="44" t="n">
        <v>0</v>
      </c>
      <c r="N131" s="44" t="n">
        <v>0</v>
      </c>
      <c r="O131" s="44" t="n">
        <v>0</v>
      </c>
      <c r="P131" s="44" t="n">
        <v>0</v>
      </c>
      <c r="Q131" s="44" t="n">
        <v>0</v>
      </c>
      <c r="R131" s="44" t="n">
        <v>0</v>
      </c>
      <c r="S131" s="44" t="n">
        <v>0</v>
      </c>
      <c r="T131" s="44" t="n">
        <v>0</v>
      </c>
      <c r="U131" s="44" t="n">
        <v>0</v>
      </c>
      <c r="V131" s="44" t="n">
        <v>0</v>
      </c>
      <c r="W131" s="44" t="n">
        <v>0</v>
      </c>
      <c r="X131" s="44" t="n">
        <v>0</v>
      </c>
      <c r="Y131" s="44" t="n">
        <v>0</v>
      </c>
    </row>
    <row r="132" customFormat="false" ht="15" hidden="false" customHeight="true" outlineLevel="0" collapsed="false">
      <c r="A132" s="14" t="s">
        <v>184</v>
      </c>
      <c r="C132" s="44" t="n">
        <v>2.5144</v>
      </c>
      <c r="D132" s="44" t="n">
        <v>5.1294</v>
      </c>
      <c r="E132" s="44" t="n">
        <v>8.1105</v>
      </c>
      <c r="F132" s="44" t="n">
        <v>11.5089</v>
      </c>
      <c r="G132" s="44" t="n">
        <v>15.3831</v>
      </c>
      <c r="H132" s="44" t="n">
        <v>14.9584</v>
      </c>
      <c r="I132" s="44" t="n">
        <v>15.5242</v>
      </c>
      <c r="J132" s="44" t="n">
        <v>16.1691</v>
      </c>
      <c r="K132" s="44" t="n">
        <v>16.9043</v>
      </c>
      <c r="L132" s="44" t="n">
        <v>17.7425</v>
      </c>
      <c r="M132" s="44" t="n">
        <v>15.8693</v>
      </c>
      <c r="N132" s="44" t="n">
        <v>12.6446</v>
      </c>
      <c r="O132" s="44" t="n">
        <v>8.9684</v>
      </c>
      <c r="P132" s="44" t="n">
        <v>4.7776</v>
      </c>
      <c r="Q132" s="44" t="n">
        <v>0</v>
      </c>
      <c r="R132" s="44" t="n">
        <v>0</v>
      </c>
      <c r="S132" s="44" t="n">
        <v>0</v>
      </c>
      <c r="T132" s="44" t="n">
        <v>0</v>
      </c>
      <c r="U132" s="44" t="n">
        <v>0</v>
      </c>
      <c r="V132" s="44" t="n">
        <v>0</v>
      </c>
      <c r="W132" s="44" t="n">
        <v>0</v>
      </c>
      <c r="X132" s="44" t="n">
        <v>0</v>
      </c>
      <c r="Y132" s="44" t="n">
        <v>0</v>
      </c>
    </row>
    <row r="133" customFormat="false" ht="15" hidden="false" customHeight="true" outlineLevel="0" collapsed="false">
      <c r="A133" s="14" t="s">
        <v>185</v>
      </c>
      <c r="C133" s="44" t="n">
        <v>5.0288</v>
      </c>
      <c r="D133" s="44" t="n">
        <v>10.7616</v>
      </c>
      <c r="E133" s="44" t="n">
        <v>17.2971</v>
      </c>
      <c r="F133" s="44" t="n">
        <v>24.7475</v>
      </c>
      <c r="G133" s="44" t="n">
        <v>33.2409</v>
      </c>
      <c r="H133" s="44" t="n">
        <v>28.2121</v>
      </c>
      <c r="I133" s="44" t="n">
        <v>22.4793</v>
      </c>
      <c r="J133" s="44" t="n">
        <v>15.9438</v>
      </c>
      <c r="K133" s="44" t="n">
        <v>8.4934</v>
      </c>
      <c r="L133" s="44" t="n">
        <v>0</v>
      </c>
      <c r="M133" s="44" t="n">
        <v>0</v>
      </c>
      <c r="N133" s="44" t="n">
        <v>0</v>
      </c>
      <c r="O133" s="44" t="n">
        <v>0</v>
      </c>
      <c r="P133" s="44" t="n">
        <v>0</v>
      </c>
      <c r="Q133" s="44" t="n">
        <v>0</v>
      </c>
      <c r="R133" s="44" t="n">
        <v>0</v>
      </c>
      <c r="S133" s="44" t="n">
        <v>0</v>
      </c>
      <c r="T133" s="44" t="n">
        <v>0</v>
      </c>
      <c r="U133" s="44" t="n">
        <v>0</v>
      </c>
      <c r="V133" s="44" t="n">
        <v>0</v>
      </c>
      <c r="W133" s="44" t="n">
        <v>0</v>
      </c>
      <c r="X133" s="44" t="n">
        <v>0</v>
      </c>
      <c r="Y133" s="44" t="n">
        <v>0</v>
      </c>
    </row>
    <row r="134" customFormat="false" ht="15" hidden="false" customHeight="true" outlineLevel="0" collapsed="false">
      <c r="A134" s="14" t="s">
        <v>186</v>
      </c>
      <c r="C134" s="44" t="n">
        <v>2.6689</v>
      </c>
      <c r="D134" s="44" t="n">
        <v>5.7114</v>
      </c>
      <c r="E134" s="44" t="n">
        <v>9.18</v>
      </c>
      <c r="F134" s="44" t="n">
        <v>13.134</v>
      </c>
      <c r="G134" s="44" t="n">
        <v>17.6417</v>
      </c>
      <c r="H134" s="44" t="n">
        <v>14.9728</v>
      </c>
      <c r="I134" s="44" t="n">
        <v>11.9303</v>
      </c>
      <c r="J134" s="44" t="n">
        <v>8.4618</v>
      </c>
      <c r="K134" s="44" t="n">
        <v>4.5077</v>
      </c>
      <c r="L134" s="44" t="n">
        <v>0</v>
      </c>
      <c r="M134" s="44" t="n">
        <v>0</v>
      </c>
      <c r="N134" s="44" t="n">
        <v>0</v>
      </c>
      <c r="O134" s="44" t="n">
        <v>0</v>
      </c>
      <c r="P134" s="44" t="n">
        <v>0</v>
      </c>
      <c r="Q134" s="44" t="n">
        <v>0</v>
      </c>
      <c r="R134" s="44" t="n">
        <v>0</v>
      </c>
      <c r="S134" s="44" t="n">
        <v>0</v>
      </c>
      <c r="T134" s="44" t="n">
        <v>0</v>
      </c>
      <c r="U134" s="44" t="n">
        <v>0</v>
      </c>
      <c r="V134" s="44" t="n">
        <v>0</v>
      </c>
      <c r="W134" s="44" t="n">
        <v>0</v>
      </c>
      <c r="X134" s="44" t="n">
        <v>0</v>
      </c>
      <c r="Y134" s="44" t="n">
        <v>0</v>
      </c>
    </row>
    <row r="135" customFormat="false" ht="15" hidden="false" customHeight="true" outlineLevel="0" collapsed="false">
      <c r="A135" s="14" t="s">
        <v>187</v>
      </c>
      <c r="C135" s="44" t="n">
        <v>1.3057</v>
      </c>
      <c r="D135" s="44" t="n">
        <v>2.7941</v>
      </c>
      <c r="E135" s="44" t="n">
        <v>4.491</v>
      </c>
      <c r="F135" s="44" t="n">
        <v>6.4254</v>
      </c>
      <c r="G135" s="44" t="n">
        <v>8.6306</v>
      </c>
      <c r="H135" s="44" t="n">
        <v>7.325</v>
      </c>
      <c r="I135" s="44" t="n">
        <v>5.8365</v>
      </c>
      <c r="J135" s="44" t="n">
        <v>4.1396</v>
      </c>
      <c r="K135" s="44" t="n">
        <v>2.2052</v>
      </c>
      <c r="L135" s="44" t="n">
        <v>0</v>
      </c>
      <c r="M135" s="44" t="n">
        <v>0</v>
      </c>
      <c r="N135" s="44" t="n">
        <v>0</v>
      </c>
      <c r="O135" s="44" t="n">
        <v>0</v>
      </c>
      <c r="P135" s="44" t="n">
        <v>0</v>
      </c>
      <c r="Q135" s="44" t="n">
        <v>0</v>
      </c>
      <c r="R135" s="44" t="n">
        <v>0</v>
      </c>
      <c r="S135" s="44" t="n">
        <v>0</v>
      </c>
      <c r="T135" s="44" t="n">
        <v>0</v>
      </c>
      <c r="U135" s="44" t="n">
        <v>0</v>
      </c>
      <c r="V135" s="44" t="n">
        <v>0</v>
      </c>
      <c r="W135" s="44" t="n">
        <v>0</v>
      </c>
      <c r="X135" s="44" t="n">
        <v>0</v>
      </c>
      <c r="Y135" s="44" t="n">
        <v>0</v>
      </c>
    </row>
    <row r="136" customFormat="false" ht="15" hidden="false" customHeight="true" outlineLevel="0" collapsed="false">
      <c r="A136" s="14" t="s">
        <v>188</v>
      </c>
      <c r="C136" s="44" t="n">
        <v>0</v>
      </c>
      <c r="D136" s="44" t="n">
        <v>0</v>
      </c>
      <c r="E136" s="44" t="n">
        <v>0</v>
      </c>
      <c r="F136" s="44" t="n">
        <v>0</v>
      </c>
      <c r="G136" s="44" t="n">
        <v>0</v>
      </c>
      <c r="H136" s="44" t="n">
        <v>0</v>
      </c>
      <c r="I136" s="44" t="n">
        <v>0</v>
      </c>
      <c r="J136" s="44" t="n">
        <v>0</v>
      </c>
      <c r="K136" s="44" t="n">
        <v>0</v>
      </c>
      <c r="L136" s="44" t="n">
        <v>0</v>
      </c>
      <c r="M136" s="44" t="n">
        <v>0</v>
      </c>
      <c r="N136" s="44" t="n">
        <v>0</v>
      </c>
      <c r="O136" s="44" t="n">
        <v>0</v>
      </c>
      <c r="P136" s="44" t="n">
        <v>0</v>
      </c>
      <c r="Q136" s="44" t="n">
        <v>0</v>
      </c>
      <c r="R136" s="44" t="n">
        <v>0</v>
      </c>
      <c r="S136" s="44" t="n">
        <v>0</v>
      </c>
      <c r="T136" s="44" t="n">
        <v>0</v>
      </c>
      <c r="U136" s="44" t="n">
        <v>0</v>
      </c>
      <c r="V136" s="44" t="n">
        <v>0</v>
      </c>
      <c r="W136" s="44" t="n">
        <v>0</v>
      </c>
      <c r="X136" s="44" t="n">
        <v>0</v>
      </c>
      <c r="Y136" s="44" t="n">
        <v>0</v>
      </c>
    </row>
    <row r="137" customFormat="false" ht="15" hidden="false" customHeight="true" outlineLevel="0" collapsed="false">
      <c r="A137" s="14" t="s">
        <v>190</v>
      </c>
      <c r="C137" s="44" t="n">
        <v>1.5086</v>
      </c>
      <c r="D137" s="44" t="n">
        <v>1.7199</v>
      </c>
      <c r="E137" s="44" t="n">
        <v>1.9606</v>
      </c>
      <c r="F137" s="44" t="n">
        <v>2.2351</v>
      </c>
      <c r="G137" s="44" t="n">
        <v>2.548</v>
      </c>
      <c r="H137" s="44" t="n">
        <v>0</v>
      </c>
      <c r="I137" s="44" t="n">
        <v>0</v>
      </c>
      <c r="J137" s="44" t="n">
        <v>0</v>
      </c>
      <c r="K137" s="44" t="n">
        <v>0</v>
      </c>
      <c r="L137" s="44" t="n">
        <v>0</v>
      </c>
      <c r="M137" s="44" t="n">
        <v>0</v>
      </c>
      <c r="N137" s="44" t="n">
        <v>0</v>
      </c>
      <c r="O137" s="44" t="n">
        <v>0</v>
      </c>
      <c r="P137" s="44" t="n">
        <v>0</v>
      </c>
      <c r="Q137" s="44" t="n">
        <v>0</v>
      </c>
      <c r="R137" s="44" t="n">
        <v>0</v>
      </c>
      <c r="S137" s="44" t="n">
        <v>0</v>
      </c>
      <c r="T137" s="44" t="n">
        <v>0</v>
      </c>
      <c r="U137" s="44" t="n">
        <v>0</v>
      </c>
      <c r="V137" s="44" t="n">
        <v>0</v>
      </c>
      <c r="W137" s="44" t="n">
        <v>0</v>
      </c>
      <c r="X137" s="44" t="n">
        <v>0</v>
      </c>
      <c r="Y137" s="44" t="n">
        <v>0</v>
      </c>
    </row>
    <row r="139" customFormat="false" ht="15" hidden="false" customHeight="true" outlineLevel="0" collapsed="false">
      <c r="A139" s="43" t="s">
        <v>103</v>
      </c>
      <c r="B139" s="6"/>
      <c r="C139" s="6"/>
      <c r="D139" s="6"/>
      <c r="E139" s="6"/>
      <c r="F139" s="6"/>
      <c r="G139" s="6"/>
      <c r="H139" s="6"/>
      <c r="I139" s="6"/>
      <c r="J139" s="6"/>
      <c r="K139" s="6"/>
      <c r="L139" s="6"/>
      <c r="M139" s="6"/>
      <c r="N139" s="6"/>
      <c r="O139" s="6"/>
      <c r="P139" s="6"/>
      <c r="Q139" s="6"/>
      <c r="R139" s="6"/>
      <c r="S139" s="6"/>
      <c r="T139" s="6"/>
      <c r="U139" s="6"/>
      <c r="V139" s="6"/>
      <c r="W139" s="6"/>
      <c r="X139" s="6"/>
      <c r="Y139" s="6"/>
    </row>
    <row r="140" customFormat="false" ht="15" hidden="false" customHeight="true" outlineLevel="0" collapsed="false">
      <c r="A140" s="14" t="s">
        <v>183</v>
      </c>
      <c r="C140" s="44" t="n">
        <v>0</v>
      </c>
      <c r="D140" s="44" t="n">
        <v>0</v>
      </c>
      <c r="E140" s="44" t="n">
        <v>0</v>
      </c>
      <c r="F140" s="44" t="n">
        <v>0</v>
      </c>
      <c r="G140" s="44" t="n">
        <v>0</v>
      </c>
      <c r="H140" s="44" t="n">
        <v>0</v>
      </c>
      <c r="I140" s="44" t="n">
        <v>38.9827</v>
      </c>
      <c r="J140" s="44" t="n">
        <v>44.4403</v>
      </c>
      <c r="K140" s="44" t="n">
        <v>50.6619</v>
      </c>
      <c r="L140" s="44" t="n">
        <v>57.7546</v>
      </c>
      <c r="M140" s="44" t="n">
        <v>65.8403</v>
      </c>
      <c r="N140" s="44" t="n">
        <v>75.0579</v>
      </c>
      <c r="O140" s="44" t="n">
        <v>0</v>
      </c>
      <c r="P140" s="44" t="n">
        <v>0</v>
      </c>
      <c r="Q140" s="44" t="n">
        <v>0</v>
      </c>
      <c r="R140" s="44" t="n">
        <v>0</v>
      </c>
      <c r="S140" s="44" t="n">
        <v>0</v>
      </c>
      <c r="T140" s="44" t="n">
        <v>0</v>
      </c>
      <c r="U140" s="44" t="n">
        <v>0</v>
      </c>
      <c r="V140" s="44" t="n">
        <v>0</v>
      </c>
      <c r="W140" s="44" t="n">
        <v>0</v>
      </c>
      <c r="X140" s="44" t="n">
        <v>0</v>
      </c>
      <c r="Y140" s="44" t="n">
        <v>0</v>
      </c>
    </row>
    <row r="141" customFormat="false" ht="15" hidden="false" customHeight="true" outlineLevel="0" collapsed="false">
      <c r="A141" s="14" t="s">
        <v>184</v>
      </c>
      <c r="C141" s="44" t="n">
        <v>0</v>
      </c>
      <c r="D141" s="44" t="n">
        <v>0</v>
      </c>
      <c r="E141" s="44" t="n">
        <v>0</v>
      </c>
      <c r="F141" s="44" t="n">
        <v>0</v>
      </c>
      <c r="G141" s="44" t="n">
        <v>0</v>
      </c>
      <c r="H141" s="44" t="n">
        <v>0</v>
      </c>
      <c r="I141" s="44" t="n">
        <v>3.8983</v>
      </c>
      <c r="J141" s="44" t="n">
        <v>7.3677</v>
      </c>
      <c r="K141" s="44" t="n">
        <v>11.3229</v>
      </c>
      <c r="L141" s="44" t="n">
        <v>15.8318</v>
      </c>
      <c r="M141" s="44" t="n">
        <v>20.972</v>
      </c>
      <c r="N141" s="44" t="n">
        <v>26.8318</v>
      </c>
      <c r="O141" s="44" t="n">
        <v>24.9553</v>
      </c>
      <c r="P141" s="44" t="n">
        <v>26.4172</v>
      </c>
      <c r="Q141" s="44" t="n">
        <v>28.0837</v>
      </c>
      <c r="R141" s="44" t="n">
        <v>29.9835</v>
      </c>
      <c r="S141" s="44" t="n">
        <v>32.1493</v>
      </c>
      <c r="T141" s="44" t="n">
        <v>30.2328</v>
      </c>
      <c r="U141" s="44" t="n">
        <v>28.0479</v>
      </c>
      <c r="V141" s="44" t="n">
        <v>22.3484</v>
      </c>
      <c r="W141" s="44" t="n">
        <v>15.851</v>
      </c>
      <c r="X141" s="44" t="n">
        <v>8.444</v>
      </c>
      <c r="Y141" s="44" t="n">
        <v>0</v>
      </c>
    </row>
    <row r="142" customFormat="false" ht="15" hidden="false" customHeight="true" outlineLevel="0" collapsed="false">
      <c r="A142" s="14" t="s">
        <v>185</v>
      </c>
      <c r="C142" s="44" t="n">
        <v>0</v>
      </c>
      <c r="D142" s="44" t="n">
        <v>0</v>
      </c>
      <c r="E142" s="44" t="n">
        <v>0</v>
      </c>
      <c r="F142" s="44" t="n">
        <v>0</v>
      </c>
      <c r="G142" s="44" t="n">
        <v>0</v>
      </c>
      <c r="H142" s="44" t="n">
        <v>0</v>
      </c>
      <c r="I142" s="44" t="n">
        <v>6.4971</v>
      </c>
      <c r="J142" s="44" t="n">
        <v>13.9038</v>
      </c>
      <c r="K142" s="44" t="n">
        <v>22.3475</v>
      </c>
      <c r="L142" s="44" t="n">
        <v>31.9733</v>
      </c>
      <c r="M142" s="44" t="n">
        <v>42.9466</v>
      </c>
      <c r="N142" s="44" t="n">
        <v>55.4563</v>
      </c>
      <c r="O142" s="44" t="n">
        <v>48.9592</v>
      </c>
      <c r="P142" s="44" t="n">
        <v>41.5524</v>
      </c>
      <c r="Q142" s="44" t="n">
        <v>33.1088</v>
      </c>
      <c r="R142" s="44" t="n">
        <v>23.483</v>
      </c>
      <c r="S142" s="44" t="n">
        <v>12.5096</v>
      </c>
      <c r="T142" s="44" t="n">
        <v>0</v>
      </c>
      <c r="U142" s="44" t="n">
        <v>0</v>
      </c>
      <c r="V142" s="44" t="n">
        <v>0</v>
      </c>
      <c r="W142" s="44" t="n">
        <v>0</v>
      </c>
      <c r="X142" s="44" t="n">
        <v>0</v>
      </c>
      <c r="Y142" s="44" t="n">
        <v>0</v>
      </c>
    </row>
    <row r="143" customFormat="false" ht="15" hidden="false" customHeight="true" outlineLevel="0" collapsed="false">
      <c r="A143" s="14" t="s">
        <v>186</v>
      </c>
      <c r="C143" s="44" t="n">
        <v>0</v>
      </c>
      <c r="D143" s="44" t="n">
        <v>0</v>
      </c>
      <c r="E143" s="44" t="n">
        <v>0</v>
      </c>
      <c r="F143" s="44" t="n">
        <v>0</v>
      </c>
      <c r="G143" s="44" t="n">
        <v>0</v>
      </c>
      <c r="H143" s="44" t="n">
        <v>0</v>
      </c>
      <c r="I143" s="44" t="n">
        <v>4.4466</v>
      </c>
      <c r="J143" s="44" t="n">
        <v>9.5158</v>
      </c>
      <c r="K143" s="44" t="n">
        <v>15.2947</v>
      </c>
      <c r="L143" s="44" t="n">
        <v>21.8826</v>
      </c>
      <c r="M143" s="44" t="n">
        <v>29.3928</v>
      </c>
      <c r="N143" s="44" t="n">
        <v>37.9545</v>
      </c>
      <c r="O143" s="44" t="n">
        <v>33.5078</v>
      </c>
      <c r="P143" s="44" t="n">
        <v>28.4386</v>
      </c>
      <c r="Q143" s="44" t="n">
        <v>22.6598</v>
      </c>
      <c r="R143" s="44" t="n">
        <v>16.0719</v>
      </c>
      <c r="S143" s="44" t="n">
        <v>8.5616</v>
      </c>
      <c r="T143" s="44" t="n">
        <v>0</v>
      </c>
      <c r="U143" s="44" t="n">
        <v>0</v>
      </c>
      <c r="V143" s="44" t="n">
        <v>0</v>
      </c>
      <c r="W143" s="44" t="n">
        <v>0</v>
      </c>
      <c r="X143" s="44" t="n">
        <v>0</v>
      </c>
      <c r="Y143" s="44" t="n">
        <v>0</v>
      </c>
    </row>
    <row r="144" customFormat="false" ht="15" hidden="false" customHeight="true" outlineLevel="0" collapsed="false">
      <c r="A144" s="14" t="s">
        <v>187</v>
      </c>
      <c r="C144" s="44" t="n">
        <v>0</v>
      </c>
      <c r="D144" s="44" t="n">
        <v>0</v>
      </c>
      <c r="E144" s="44" t="n">
        <v>0</v>
      </c>
      <c r="F144" s="44" t="n">
        <v>0</v>
      </c>
      <c r="G144" s="44" t="n">
        <v>0</v>
      </c>
      <c r="H144" s="44" t="n">
        <v>0</v>
      </c>
      <c r="I144" s="44" t="n">
        <v>2.6175</v>
      </c>
      <c r="J144" s="44" t="n">
        <v>5.6015</v>
      </c>
      <c r="K144" s="44" t="n">
        <v>9.0032</v>
      </c>
      <c r="L144" s="44" t="n">
        <v>12.8811</v>
      </c>
      <c r="M144" s="44" t="n">
        <v>17.302</v>
      </c>
      <c r="N144" s="44" t="n">
        <v>22.3418</v>
      </c>
      <c r="O144" s="44" t="n">
        <v>19.7243</v>
      </c>
      <c r="P144" s="44" t="n">
        <v>16.7403</v>
      </c>
      <c r="Q144" s="44" t="n">
        <v>13.3386</v>
      </c>
      <c r="R144" s="44" t="n">
        <v>9.4606</v>
      </c>
      <c r="S144" s="44" t="n">
        <v>5.0398</v>
      </c>
      <c r="T144" s="44" t="n">
        <v>0</v>
      </c>
      <c r="U144" s="44" t="n">
        <v>0</v>
      </c>
      <c r="V144" s="44" t="n">
        <v>0</v>
      </c>
      <c r="W144" s="44" t="n">
        <v>0</v>
      </c>
      <c r="X144" s="44" t="n">
        <v>0</v>
      </c>
      <c r="Y144" s="44" t="n">
        <v>0</v>
      </c>
    </row>
    <row r="145" customFormat="false" ht="15" hidden="false" customHeight="true" outlineLevel="0" collapsed="false">
      <c r="A145" s="14" t="s">
        <v>188</v>
      </c>
      <c r="C145" s="44" t="n">
        <v>0</v>
      </c>
      <c r="D145" s="44" t="n">
        <v>0</v>
      </c>
      <c r="E145" s="44" t="n">
        <v>0</v>
      </c>
      <c r="F145" s="44" t="n">
        <v>0</v>
      </c>
      <c r="G145" s="44" t="n">
        <v>0</v>
      </c>
      <c r="H145" s="44" t="n">
        <v>0</v>
      </c>
      <c r="I145" s="44" t="n">
        <v>0</v>
      </c>
      <c r="J145" s="44" t="n">
        <v>0</v>
      </c>
      <c r="K145" s="44" t="n">
        <v>0</v>
      </c>
      <c r="L145" s="44" t="n">
        <v>0</v>
      </c>
      <c r="M145" s="44" t="n">
        <v>0</v>
      </c>
      <c r="N145" s="44" t="n">
        <v>0</v>
      </c>
      <c r="O145" s="44" t="n">
        <v>0</v>
      </c>
      <c r="P145" s="44" t="n">
        <v>0</v>
      </c>
      <c r="Q145" s="44" t="n">
        <v>0</v>
      </c>
      <c r="R145" s="44" t="n">
        <v>0</v>
      </c>
      <c r="S145" s="44" t="n">
        <v>0</v>
      </c>
      <c r="T145" s="44" t="n">
        <v>0</v>
      </c>
      <c r="U145" s="44" t="n">
        <v>0</v>
      </c>
      <c r="V145" s="44" t="n">
        <v>0</v>
      </c>
      <c r="W145" s="44" t="n">
        <v>0</v>
      </c>
      <c r="X145" s="44" t="n">
        <v>0</v>
      </c>
      <c r="Y145" s="44" t="n">
        <v>0</v>
      </c>
    </row>
    <row r="146" customFormat="false" ht="15" hidden="false" customHeight="true" outlineLevel="0" collapsed="false">
      <c r="A146" s="14" t="s">
        <v>190</v>
      </c>
      <c r="C146" s="44" t="n">
        <v>0</v>
      </c>
      <c r="D146" s="44" t="n">
        <v>0</v>
      </c>
      <c r="E146" s="44" t="n">
        <v>0</v>
      </c>
      <c r="F146" s="44" t="n">
        <v>0</v>
      </c>
      <c r="G146" s="44" t="n">
        <v>0</v>
      </c>
      <c r="H146" s="44" t="n">
        <v>0</v>
      </c>
      <c r="I146" s="44" t="n">
        <v>3.1186</v>
      </c>
      <c r="J146" s="44" t="n">
        <v>3.5552</v>
      </c>
      <c r="K146" s="44" t="n">
        <v>4.053</v>
      </c>
      <c r="L146" s="44" t="n">
        <v>4.6204</v>
      </c>
      <c r="M146" s="44" t="n">
        <v>5.2672</v>
      </c>
      <c r="N146" s="44" t="n">
        <v>6.0046</v>
      </c>
      <c r="O146" s="44" t="n">
        <v>0</v>
      </c>
      <c r="P146" s="44" t="n">
        <v>0</v>
      </c>
      <c r="Q146" s="44" t="n">
        <v>0</v>
      </c>
      <c r="R146" s="44" t="n">
        <v>0</v>
      </c>
      <c r="S146" s="44" t="n">
        <v>0</v>
      </c>
      <c r="T146" s="44" t="n">
        <v>0</v>
      </c>
      <c r="U146" s="44" t="n">
        <v>0</v>
      </c>
      <c r="V146" s="44" t="n">
        <v>0</v>
      </c>
      <c r="W146" s="44" t="n">
        <v>0</v>
      </c>
      <c r="X146" s="44" t="n">
        <v>0</v>
      </c>
      <c r="Y146" s="44" t="n">
        <v>0</v>
      </c>
    </row>
    <row r="148" customFormat="false" ht="15" hidden="false" customHeight="true" outlineLevel="0" collapsed="false">
      <c r="A148" s="43" t="s">
        <v>191</v>
      </c>
      <c r="B148" s="6"/>
      <c r="C148" s="6"/>
      <c r="D148" s="6"/>
      <c r="E148" s="6"/>
      <c r="F148" s="6"/>
      <c r="G148" s="6"/>
      <c r="H148" s="6"/>
      <c r="I148" s="6"/>
      <c r="J148" s="6"/>
      <c r="K148" s="6"/>
      <c r="L148" s="6"/>
      <c r="M148" s="6"/>
      <c r="N148" s="6"/>
      <c r="O148" s="6"/>
      <c r="P148" s="6"/>
      <c r="Q148" s="6"/>
      <c r="R148" s="6"/>
      <c r="S148" s="6"/>
      <c r="T148" s="6"/>
      <c r="U148" s="6"/>
      <c r="V148" s="6"/>
      <c r="W148" s="6"/>
      <c r="X148" s="6"/>
      <c r="Y148" s="6"/>
    </row>
    <row r="149" customFormat="false" ht="15" hidden="false" customHeight="true" outlineLevel="0" collapsed="false">
      <c r="A149" s="14" t="s">
        <v>183</v>
      </c>
      <c r="C149" s="44" t="n">
        <v>0</v>
      </c>
      <c r="D149" s="44" t="n">
        <v>0</v>
      </c>
      <c r="E149" s="44" t="n">
        <v>0</v>
      </c>
      <c r="F149" s="44" t="n">
        <v>0</v>
      </c>
      <c r="G149" s="44" t="n">
        <v>0</v>
      </c>
      <c r="H149" s="44" t="n">
        <v>0</v>
      </c>
      <c r="I149" s="44" t="n">
        <v>0</v>
      </c>
      <c r="J149" s="44" t="n">
        <v>0</v>
      </c>
      <c r="K149" s="44" t="n">
        <v>0</v>
      </c>
      <c r="L149" s="44" t="n">
        <v>0</v>
      </c>
      <c r="M149" s="44" t="n">
        <v>0</v>
      </c>
      <c r="N149" s="44" t="n">
        <v>0</v>
      </c>
      <c r="O149" s="44" t="n">
        <v>0</v>
      </c>
      <c r="P149" s="44" t="n">
        <v>0</v>
      </c>
      <c r="Q149" s="44" t="n">
        <v>0</v>
      </c>
      <c r="R149" s="44" t="n">
        <v>0</v>
      </c>
      <c r="S149" s="44" t="n">
        <v>0</v>
      </c>
      <c r="T149" s="44" t="n">
        <v>0</v>
      </c>
      <c r="U149" s="44" t="n">
        <v>0</v>
      </c>
      <c r="V149" s="44" t="n">
        <v>0</v>
      </c>
      <c r="W149" s="44" t="n">
        <v>0</v>
      </c>
      <c r="X149" s="44" t="n">
        <v>0</v>
      </c>
      <c r="Y149" s="44" t="n">
        <v>0</v>
      </c>
    </row>
    <row r="150" customFormat="false" ht="15" hidden="false" customHeight="true" outlineLevel="0" collapsed="false">
      <c r="A150" s="14" t="s">
        <v>184</v>
      </c>
      <c r="C150" s="44" t="n">
        <v>26.3</v>
      </c>
      <c r="D150" s="44" t="n">
        <v>26.3</v>
      </c>
      <c r="E150" s="44" t="n">
        <v>26.3</v>
      </c>
      <c r="F150" s="44" t="n">
        <v>26.3</v>
      </c>
      <c r="G150" s="44" t="n">
        <v>26.3</v>
      </c>
      <c r="H150" s="44" t="n">
        <v>26.3</v>
      </c>
      <c r="I150" s="44" t="n">
        <v>26.3</v>
      </c>
      <c r="J150" s="44" t="n">
        <v>0</v>
      </c>
      <c r="K150" s="44" t="n">
        <v>0</v>
      </c>
      <c r="L150" s="44" t="n">
        <v>0</v>
      </c>
      <c r="M150" s="44" t="n">
        <v>0</v>
      </c>
      <c r="N150" s="44" t="n">
        <v>0</v>
      </c>
      <c r="O150" s="44" t="n">
        <v>0</v>
      </c>
      <c r="P150" s="44" t="n">
        <v>0</v>
      </c>
      <c r="Q150" s="44" t="n">
        <v>0</v>
      </c>
      <c r="R150" s="44" t="n">
        <v>0</v>
      </c>
      <c r="S150" s="44" t="n">
        <v>0</v>
      </c>
      <c r="T150" s="44" t="n">
        <v>0</v>
      </c>
      <c r="U150" s="44" t="n">
        <v>0</v>
      </c>
      <c r="V150" s="44" t="n">
        <v>0</v>
      </c>
      <c r="W150" s="44" t="n">
        <v>0</v>
      </c>
      <c r="X150" s="44" t="n">
        <v>0</v>
      </c>
      <c r="Y150" s="44" t="n">
        <v>0</v>
      </c>
    </row>
    <row r="151" customFormat="false" ht="15" hidden="false" customHeight="true" outlineLevel="0" collapsed="false">
      <c r="A151" s="14" t="s">
        <v>185</v>
      </c>
      <c r="C151" s="44" t="n">
        <v>37.5714</v>
      </c>
      <c r="D151" s="44" t="n">
        <v>37.5714</v>
      </c>
      <c r="E151" s="44" t="n">
        <v>37.5714</v>
      </c>
      <c r="F151" s="44" t="n">
        <v>37.5714</v>
      </c>
      <c r="G151" s="44" t="n">
        <v>37.5714</v>
      </c>
      <c r="H151" s="44" t="n">
        <v>37.5714</v>
      </c>
      <c r="I151" s="44" t="n">
        <v>37.5714</v>
      </c>
      <c r="J151" s="44" t="n">
        <v>0</v>
      </c>
      <c r="K151" s="44" t="n">
        <v>0</v>
      </c>
      <c r="L151" s="44" t="n">
        <v>0</v>
      </c>
      <c r="M151" s="44" t="n">
        <v>0</v>
      </c>
      <c r="N151" s="44" t="n">
        <v>0</v>
      </c>
      <c r="O151" s="44" t="n">
        <v>0</v>
      </c>
      <c r="P151" s="44" t="n">
        <v>0</v>
      </c>
      <c r="Q151" s="44" t="n">
        <v>0</v>
      </c>
      <c r="R151" s="44" t="n">
        <v>0</v>
      </c>
      <c r="S151" s="44" t="n">
        <v>0</v>
      </c>
      <c r="T151" s="44" t="n">
        <v>0</v>
      </c>
      <c r="U151" s="44" t="n">
        <v>0</v>
      </c>
      <c r="V151" s="44" t="n">
        <v>0</v>
      </c>
      <c r="W151" s="44" t="n">
        <v>0</v>
      </c>
      <c r="X151" s="44" t="n">
        <v>0</v>
      </c>
      <c r="Y151" s="44" t="n">
        <v>0</v>
      </c>
    </row>
    <row r="152" customFormat="false" ht="15" hidden="false" customHeight="true" outlineLevel="0" collapsed="false">
      <c r="A152" s="14" t="s">
        <v>186</v>
      </c>
      <c r="C152" s="44" t="n">
        <v>22.5429</v>
      </c>
      <c r="D152" s="44" t="n">
        <v>22.5429</v>
      </c>
      <c r="E152" s="44" t="n">
        <v>22.5429</v>
      </c>
      <c r="F152" s="44" t="n">
        <v>22.5429</v>
      </c>
      <c r="G152" s="44" t="n">
        <v>22.5429</v>
      </c>
      <c r="H152" s="44" t="n">
        <v>22.5429</v>
      </c>
      <c r="I152" s="44" t="n">
        <v>22.5429</v>
      </c>
      <c r="J152" s="44" t="n">
        <v>0</v>
      </c>
      <c r="K152" s="44" t="n">
        <v>0</v>
      </c>
      <c r="L152" s="44" t="n">
        <v>0</v>
      </c>
      <c r="M152" s="44" t="n">
        <v>0</v>
      </c>
      <c r="N152" s="44" t="n">
        <v>0</v>
      </c>
      <c r="O152" s="44" t="n">
        <v>0</v>
      </c>
      <c r="P152" s="44" t="n">
        <v>0</v>
      </c>
      <c r="Q152" s="44" t="n">
        <v>0</v>
      </c>
      <c r="R152" s="44" t="n">
        <v>0</v>
      </c>
      <c r="S152" s="44" t="n">
        <v>0</v>
      </c>
      <c r="T152" s="44" t="n">
        <v>0</v>
      </c>
      <c r="U152" s="44" t="n">
        <v>0</v>
      </c>
      <c r="V152" s="44" t="n">
        <v>0</v>
      </c>
      <c r="W152" s="44" t="n">
        <v>0</v>
      </c>
      <c r="X152" s="44" t="n">
        <v>0</v>
      </c>
      <c r="Y152" s="44" t="n">
        <v>0</v>
      </c>
    </row>
    <row r="153" customFormat="false" ht="15" hidden="false" customHeight="true" outlineLevel="0" collapsed="false">
      <c r="A153" s="14" t="s">
        <v>187</v>
      </c>
      <c r="C153" s="44" t="n">
        <v>15.78</v>
      </c>
      <c r="D153" s="44" t="n">
        <v>15.78</v>
      </c>
      <c r="E153" s="44" t="n">
        <v>15.78</v>
      </c>
      <c r="F153" s="44" t="n">
        <v>15.78</v>
      </c>
      <c r="G153" s="44" t="n">
        <v>15.78</v>
      </c>
      <c r="H153" s="44" t="n">
        <v>15.78</v>
      </c>
      <c r="I153" s="44" t="n">
        <v>15.78</v>
      </c>
      <c r="J153" s="44" t="n">
        <v>0</v>
      </c>
      <c r="K153" s="44" t="n">
        <v>0</v>
      </c>
      <c r="L153" s="44" t="n">
        <v>0</v>
      </c>
      <c r="M153" s="44" t="n">
        <v>0</v>
      </c>
      <c r="N153" s="44" t="n">
        <v>0</v>
      </c>
      <c r="O153" s="44" t="n">
        <v>0</v>
      </c>
      <c r="P153" s="44" t="n">
        <v>0</v>
      </c>
      <c r="Q153" s="44" t="n">
        <v>0</v>
      </c>
      <c r="R153" s="44" t="n">
        <v>0</v>
      </c>
      <c r="S153" s="44" t="n">
        <v>0</v>
      </c>
      <c r="T153" s="44" t="n">
        <v>0</v>
      </c>
      <c r="U153" s="44" t="n">
        <v>0</v>
      </c>
      <c r="V153" s="44" t="n">
        <v>0</v>
      </c>
      <c r="W153" s="44" t="n">
        <v>0</v>
      </c>
      <c r="X153" s="44" t="n">
        <v>0</v>
      </c>
      <c r="Y153" s="44" t="n">
        <v>0</v>
      </c>
    </row>
    <row r="154" customFormat="false" ht="15" hidden="false" customHeight="true" outlineLevel="0" collapsed="false">
      <c r="A154" s="14" t="s">
        <v>188</v>
      </c>
      <c r="C154" s="44" t="n">
        <v>0</v>
      </c>
      <c r="D154" s="44" t="n">
        <v>0</v>
      </c>
      <c r="E154" s="44" t="n">
        <v>0</v>
      </c>
      <c r="F154" s="44" t="n">
        <v>0</v>
      </c>
      <c r="G154" s="44" t="n">
        <v>0</v>
      </c>
      <c r="H154" s="44" t="n">
        <v>0</v>
      </c>
      <c r="I154" s="44" t="n">
        <v>0</v>
      </c>
      <c r="J154" s="44" t="n">
        <v>0</v>
      </c>
      <c r="K154" s="44" t="n">
        <v>0</v>
      </c>
      <c r="L154" s="44" t="n">
        <v>0</v>
      </c>
      <c r="M154" s="44" t="n">
        <v>0</v>
      </c>
      <c r="N154" s="44" t="n">
        <v>0</v>
      </c>
      <c r="O154" s="44" t="n">
        <v>0</v>
      </c>
      <c r="P154" s="44" t="n">
        <v>0</v>
      </c>
      <c r="Q154" s="44" t="n">
        <v>0</v>
      </c>
      <c r="R154" s="44" t="n">
        <v>0</v>
      </c>
      <c r="S154" s="44" t="n">
        <v>0</v>
      </c>
      <c r="T154" s="44" t="n">
        <v>0</v>
      </c>
      <c r="U154" s="44" t="n">
        <v>0</v>
      </c>
      <c r="V154" s="44" t="n">
        <v>0</v>
      </c>
      <c r="W154" s="44" t="n">
        <v>0</v>
      </c>
      <c r="X154" s="44" t="n">
        <v>0</v>
      </c>
      <c r="Y154" s="44" t="n">
        <v>0</v>
      </c>
    </row>
    <row r="155" customFormat="false" ht="15" hidden="false" customHeight="true" outlineLevel="0" collapsed="false">
      <c r="A155" s="14" t="s">
        <v>190</v>
      </c>
      <c r="C155" s="44" t="n">
        <v>0</v>
      </c>
      <c r="D155" s="44" t="n">
        <v>0</v>
      </c>
      <c r="E155" s="44" t="n">
        <v>0</v>
      </c>
      <c r="F155" s="44" t="n">
        <v>0</v>
      </c>
      <c r="G155" s="44" t="n">
        <v>0</v>
      </c>
      <c r="H155" s="44" t="n">
        <v>0</v>
      </c>
      <c r="I155" s="44" t="n">
        <v>0</v>
      </c>
      <c r="J155" s="44" t="n">
        <v>0</v>
      </c>
      <c r="K155" s="44" t="n">
        <v>0</v>
      </c>
      <c r="L155" s="44" t="n">
        <v>0</v>
      </c>
      <c r="M155" s="44" t="n">
        <v>0</v>
      </c>
      <c r="N155" s="44" t="n">
        <v>0</v>
      </c>
      <c r="O155" s="44" t="n">
        <v>0</v>
      </c>
      <c r="P155" s="44" t="n">
        <v>0</v>
      </c>
      <c r="Q155" s="44" t="n">
        <v>0</v>
      </c>
      <c r="R155" s="44" t="n">
        <v>0</v>
      </c>
      <c r="S155" s="44" t="n">
        <v>0</v>
      </c>
      <c r="T155" s="44" t="n">
        <v>0</v>
      </c>
      <c r="U155" s="44" t="n">
        <v>0</v>
      </c>
      <c r="V155" s="44" t="n">
        <v>0</v>
      </c>
      <c r="W155" s="44" t="n">
        <v>0</v>
      </c>
      <c r="X155" s="44" t="n">
        <v>0</v>
      </c>
      <c r="Y155" s="44" t="n">
        <v>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Y1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4" width="22"/>
    <col collapsed="false" customWidth="true" hidden="false" outlineLevel="0" max="25" min="3" style="4" width="8"/>
  </cols>
  <sheetData>
    <row r="1" customFormat="false" ht="21.75" hidden="false" customHeight="true" outlineLevel="0" collapsed="false">
      <c r="A1" s="5" t="s">
        <v>192</v>
      </c>
      <c r="B1" s="6"/>
      <c r="C1" s="6"/>
      <c r="D1" s="6"/>
      <c r="E1" s="6"/>
      <c r="F1" s="6"/>
      <c r="G1" s="6"/>
      <c r="H1" s="6"/>
      <c r="I1" s="6"/>
      <c r="J1" s="6"/>
      <c r="K1" s="6"/>
      <c r="L1" s="6"/>
      <c r="M1" s="6"/>
      <c r="N1" s="6"/>
      <c r="O1" s="6"/>
      <c r="P1" s="6"/>
      <c r="Q1" s="6"/>
      <c r="R1" s="6"/>
      <c r="S1" s="6"/>
      <c r="T1" s="6"/>
      <c r="U1" s="6"/>
      <c r="V1" s="6"/>
      <c r="W1" s="6"/>
      <c r="X1" s="6"/>
      <c r="Y1" s="6"/>
    </row>
    <row r="2" customFormat="false" ht="15" hidden="false" customHeight="true" outlineLevel="0" collapsed="false">
      <c r="A2" s="7" t="s">
        <v>193</v>
      </c>
    </row>
    <row r="3" customFormat="false" ht="15" hidden="false" customHeight="true" outlineLevel="0" collapsed="false">
      <c r="A3" s="40" t="s">
        <v>159</v>
      </c>
      <c r="C3" s="41" t="s">
        <v>160</v>
      </c>
      <c r="D3" s="41" t="s">
        <v>161</v>
      </c>
      <c r="E3" s="41" t="s">
        <v>162</v>
      </c>
      <c r="F3" s="41" t="s">
        <v>163</v>
      </c>
      <c r="G3" s="41" t="s">
        <v>164</v>
      </c>
      <c r="H3" s="41" t="s">
        <v>165</v>
      </c>
      <c r="I3" s="41" t="s">
        <v>166</v>
      </c>
      <c r="J3" s="41" t="s">
        <v>167</v>
      </c>
      <c r="K3" s="41" t="s">
        <v>168</v>
      </c>
      <c r="L3" s="41" t="s">
        <v>169</v>
      </c>
      <c r="M3" s="41" t="s">
        <v>170</v>
      </c>
      <c r="N3" s="41" t="s">
        <v>171</v>
      </c>
      <c r="O3" s="41" t="s">
        <v>172</v>
      </c>
      <c r="P3" s="41" t="s">
        <v>173</v>
      </c>
      <c r="Q3" s="41" t="s">
        <v>174</v>
      </c>
      <c r="R3" s="41" t="s">
        <v>175</v>
      </c>
      <c r="S3" s="41" t="s">
        <v>176</v>
      </c>
      <c r="T3" s="41" t="s">
        <v>177</v>
      </c>
      <c r="U3" s="41" t="s">
        <v>178</v>
      </c>
      <c r="V3" s="41" t="s">
        <v>179</v>
      </c>
      <c r="W3" s="41" t="s">
        <v>180</v>
      </c>
      <c r="X3" s="41" t="s">
        <v>181</v>
      </c>
      <c r="Y3" s="41" t="s">
        <v>182</v>
      </c>
    </row>
    <row r="4" customFormat="false" ht="15" hidden="false" customHeight="true" outlineLevel="0" collapsed="false">
      <c r="A4" s="12" t="s">
        <v>194</v>
      </c>
      <c r="C4" s="17" t="n">
        <f aca="false">'Project Cash Flows'!C7</f>
        <v>50.0421</v>
      </c>
      <c r="D4" s="17" t="n">
        <f aca="false">'Project Cash Flows'!D7</f>
        <v>68.0981</v>
      </c>
      <c r="E4" s="17" t="n">
        <f aca="false">'Project Cash Flows'!E7</f>
        <v>91.3839</v>
      </c>
      <c r="F4" s="17" t="n">
        <f aca="false">'Project Cash Flows'!F7</f>
        <v>117.93</v>
      </c>
      <c r="G4" s="17" t="n">
        <f aca="false">'Project Cash Flows'!G7</f>
        <v>144.4136</v>
      </c>
      <c r="H4" s="17" t="n">
        <f aca="false">'Project Cash Flows'!H7</f>
        <v>154.0295</v>
      </c>
      <c r="I4" s="17" t="n">
        <f aca="false">'Project Cash Flows'!I7</f>
        <v>167.2794</v>
      </c>
      <c r="J4" s="17" t="n">
        <f aca="false">'Project Cash Flows'!J7</f>
        <v>140.7358</v>
      </c>
      <c r="K4" s="17" t="n">
        <f aca="false">'Project Cash Flows'!K7</f>
        <v>151.8311</v>
      </c>
      <c r="L4" s="17" t="n">
        <f aca="false">'Project Cash Flows'!L7</f>
        <v>145.5792</v>
      </c>
      <c r="M4" s="17" t="n">
        <f aca="false">'Project Cash Flows'!M7</f>
        <v>142.8943</v>
      </c>
      <c r="N4" s="17" t="n">
        <f aca="false">'Project Cash Flows'!N7</f>
        <v>140.3621</v>
      </c>
      <c r="O4" s="17" t="n">
        <f aca="false">'Project Cash Flows'!O7</f>
        <v>118.1265</v>
      </c>
      <c r="P4" s="17" t="n">
        <f aca="false">'Project Cash Flows'!P7</f>
        <v>96.8549</v>
      </c>
      <c r="Q4" s="17" t="n">
        <f aca="false">'Project Cash Flows'!Q7</f>
        <v>73.8774</v>
      </c>
      <c r="R4" s="17" t="n">
        <f aca="false">'Project Cash Flows'!R7</f>
        <v>47.6829</v>
      </c>
      <c r="S4" s="17" t="n">
        <f aca="false">'Project Cash Flows'!S7</f>
        <v>17.8211</v>
      </c>
      <c r="T4" s="17" t="n">
        <f aca="false">'Project Cash Flows'!T7</f>
        <v>0</v>
      </c>
      <c r="U4" s="17" t="n">
        <f aca="false">'Project Cash Flows'!U7</f>
        <v>0</v>
      </c>
      <c r="V4" s="17" t="n">
        <f aca="false">'Project Cash Flows'!V7</f>
        <v>0</v>
      </c>
      <c r="W4" s="17" t="n">
        <f aca="false">'Project Cash Flows'!W7</f>
        <v>0</v>
      </c>
      <c r="X4" s="17" t="n">
        <f aca="false">'Project Cash Flows'!X7</f>
        <v>0</v>
      </c>
      <c r="Y4" s="17" t="n">
        <f aca="false">'Project Cash Flows'!Y7</f>
        <v>0</v>
      </c>
    </row>
    <row r="5" customFormat="false" ht="15" hidden="false" customHeight="true" outlineLevel="0" collapsed="false">
      <c r="A5" s="12" t="s">
        <v>186</v>
      </c>
      <c r="C5" s="17" t="n">
        <f aca="false">-'Project Cash Flows'!C8</f>
        <v>-29.2455</v>
      </c>
      <c r="D5" s="17" t="n">
        <f aca="false">-'Project Cash Flows'!D8</f>
        <v>-39.0615</v>
      </c>
      <c r="E5" s="17" t="n">
        <f aca="false">-'Project Cash Flows'!E8</f>
        <v>-52.0395</v>
      </c>
      <c r="F5" s="17" t="n">
        <f aca="false">-'Project Cash Flows'!F8</f>
        <v>-66.8341</v>
      </c>
      <c r="G5" s="17" t="n">
        <f aca="false">-'Project Cash Flows'!G8</f>
        <v>-81.7002</v>
      </c>
      <c r="H5" s="17" t="n">
        <f aca="false">-'Project Cash Flows'!H8</f>
        <v>-87.6259</v>
      </c>
      <c r="I5" s="17" t="n">
        <f aca="false">-'Project Cash Flows'!I8</f>
        <v>-96.7232</v>
      </c>
      <c r="J5" s="17" t="n">
        <f aca="false">-'Project Cash Flows'!J8</f>
        <v>-82.3822</v>
      </c>
      <c r="K5" s="17" t="n">
        <f aca="false">-'Project Cash Flows'!K8</f>
        <v>-90.6891</v>
      </c>
      <c r="L5" s="17" t="n">
        <f aca="false">-'Project Cash Flows'!L8</f>
        <v>-89.3657</v>
      </c>
      <c r="M5" s="17" t="n">
        <f aca="false">-'Project Cash Flows'!M8</f>
        <v>-89.0387</v>
      </c>
      <c r="N5" s="17" t="n">
        <f aca="false">-'Project Cash Flows'!N8</f>
        <v>-88.979</v>
      </c>
      <c r="O5" s="17" t="n">
        <f aca="false">-'Project Cash Flows'!O8</f>
        <v>-75.3392</v>
      </c>
      <c r="P5" s="17" t="n">
        <f aca="false">-'Project Cash Flows'!P8</f>
        <v>-61.9591</v>
      </c>
      <c r="Q5" s="17" t="n">
        <f aca="false">-'Project Cash Flows'!Q8</f>
        <v>-47.4791</v>
      </c>
      <c r="R5" s="17" t="n">
        <f aca="false">-'Project Cash Flows'!R8</f>
        <v>-30.9717</v>
      </c>
      <c r="S5" s="17" t="n">
        <f aca="false">-'Project Cash Flows'!S8</f>
        <v>-12.1531</v>
      </c>
      <c r="T5" s="17" t="n">
        <f aca="false">-'Project Cash Flows'!T8</f>
        <v>-0</v>
      </c>
      <c r="U5" s="17" t="n">
        <f aca="false">-'Project Cash Flows'!U8</f>
        <v>-0</v>
      </c>
      <c r="V5" s="17" t="n">
        <f aca="false">-'Project Cash Flows'!V8</f>
        <v>-0</v>
      </c>
      <c r="W5" s="17" t="n">
        <f aca="false">-'Project Cash Flows'!W8</f>
        <v>-0</v>
      </c>
      <c r="X5" s="17" t="n">
        <f aca="false">-'Project Cash Flows'!X8</f>
        <v>-0</v>
      </c>
      <c r="Y5" s="17" t="n">
        <f aca="false">-'Project Cash Flows'!Y8</f>
        <v>-0</v>
      </c>
    </row>
    <row r="6" customFormat="false" ht="15" hidden="false" customHeight="true" outlineLevel="0" collapsed="false">
      <c r="A6" s="10" t="s">
        <v>195</v>
      </c>
      <c r="C6" s="35" t="n">
        <f aca="false">C4+C5</f>
        <v>20.7966</v>
      </c>
      <c r="D6" s="35" t="n">
        <f aca="false">D4+D5</f>
        <v>29.0366</v>
      </c>
      <c r="E6" s="35" t="n">
        <f aca="false">E4+E5</f>
        <v>39.3444</v>
      </c>
      <c r="F6" s="35" t="n">
        <f aca="false">F4+F5</f>
        <v>51.0959</v>
      </c>
      <c r="G6" s="35" t="n">
        <f aca="false">G4+G5</f>
        <v>62.7134</v>
      </c>
      <c r="H6" s="35" t="n">
        <f aca="false">H4+H5</f>
        <v>66.4036</v>
      </c>
      <c r="I6" s="35" t="n">
        <f aca="false">I4+I5</f>
        <v>70.5562</v>
      </c>
      <c r="J6" s="35" t="n">
        <f aca="false">J4+J5</f>
        <v>58.3536</v>
      </c>
      <c r="K6" s="35" t="n">
        <f aca="false">K4+K5</f>
        <v>61.142</v>
      </c>
      <c r="L6" s="35" t="n">
        <f aca="false">L4+L5</f>
        <v>56.2135</v>
      </c>
      <c r="M6" s="35" t="n">
        <f aca="false">M4+M5</f>
        <v>53.8556</v>
      </c>
      <c r="N6" s="35" t="n">
        <f aca="false">N4+N5</f>
        <v>51.3831</v>
      </c>
      <c r="O6" s="35" t="n">
        <f aca="false">O4+O5</f>
        <v>42.7873</v>
      </c>
      <c r="P6" s="35" t="n">
        <f aca="false">P4+P5</f>
        <v>34.8958</v>
      </c>
      <c r="Q6" s="35" t="n">
        <f aca="false">Q4+Q5</f>
        <v>26.3983</v>
      </c>
      <c r="R6" s="35" t="n">
        <f aca="false">R4+R5</f>
        <v>16.7112</v>
      </c>
      <c r="S6" s="35" t="n">
        <f aca="false">S4+S5</f>
        <v>5.668</v>
      </c>
      <c r="T6" s="35" t="n">
        <f aca="false">T4+T5</f>
        <v>0</v>
      </c>
      <c r="U6" s="35" t="n">
        <f aca="false">U4+U5</f>
        <v>0</v>
      </c>
      <c r="V6" s="35" t="n">
        <f aca="false">V4+V5</f>
        <v>0</v>
      </c>
      <c r="W6" s="35" t="n">
        <f aca="false">W4+W5</f>
        <v>0</v>
      </c>
      <c r="X6" s="35" t="n">
        <f aca="false">X4+X5</f>
        <v>0</v>
      </c>
      <c r="Y6" s="35" t="n">
        <f aca="false">Y4+Y5</f>
        <v>0</v>
      </c>
    </row>
    <row r="7" customFormat="false" ht="15" hidden="false" customHeight="true" outlineLevel="0" collapsed="false">
      <c r="A7" s="12" t="s">
        <v>196</v>
      </c>
      <c r="C7" s="15" t="n">
        <f aca="false">IF(C4=0,0,C6/C4)</f>
        <v>0.415582079888734</v>
      </c>
      <c r="D7" s="15" t="n">
        <f aca="false">IF(D4=0,0,D6/D4)</f>
        <v>0.426393687929619</v>
      </c>
      <c r="E7" s="15" t="n">
        <f aca="false">IF(E4=0,0,E6/E4)</f>
        <v>0.43053973402317</v>
      </c>
      <c r="F7" s="15" t="n">
        <f aca="false">IF(F4=0,0,F6/F4)</f>
        <v>0.433273128126855</v>
      </c>
      <c r="G7" s="15" t="n">
        <f aca="false">IF(G4=0,0,G6/G4)</f>
        <v>0.434262424037625</v>
      </c>
      <c r="H7" s="15" t="n">
        <f aca="false">IF(H4=0,0,H6/H4)</f>
        <v>0.431109625104282</v>
      </c>
      <c r="I7" s="15" t="n">
        <f aca="false">IF(I4=0,0,I6/I4)</f>
        <v>0.421786543949823</v>
      </c>
      <c r="J7" s="15" t="n">
        <f aca="false">IF(J4=0,0,J6/J4)</f>
        <v>0.414632239984425</v>
      </c>
      <c r="K7" s="15" t="n">
        <f aca="false">IF(K4=0,0,K6/K4)</f>
        <v>0.402697471071473</v>
      </c>
      <c r="L7" s="15" t="n">
        <f aca="false">IF(L4=0,0,L6/L4)</f>
        <v>0.386136893182543</v>
      </c>
      <c r="M7" s="15" t="n">
        <f aca="false">IF(M4=0,0,M6/M4)</f>
        <v>0.376891170606525</v>
      </c>
      <c r="N7" s="15" t="n">
        <f aca="false">IF(N4=0,0,N6/N4)</f>
        <v>0.366075315202608</v>
      </c>
      <c r="O7" s="15" t="n">
        <f aca="false">IF(O4=0,0,O6/O4)</f>
        <v>0.36221592953317</v>
      </c>
      <c r="P7" s="15" t="n">
        <f aca="false">IF(P4=0,0,P6/P4)</f>
        <v>0.360289463930065</v>
      </c>
      <c r="Q7" s="15" t="n">
        <f aca="false">IF(Q4=0,0,Q6/Q4)</f>
        <v>0.357325785693595</v>
      </c>
      <c r="R7" s="15" t="n">
        <f aca="false">IF(R4=0,0,R6/R4)</f>
        <v>0.350465261131349</v>
      </c>
      <c r="S7" s="15" t="n">
        <f aca="false">IF(S4=0,0,S6/S4)</f>
        <v>0.318049952023164</v>
      </c>
      <c r="T7" s="15" t="n">
        <f aca="false">IF(T4=0,0,T6/T4)</f>
        <v>0</v>
      </c>
      <c r="U7" s="15" t="n">
        <f aca="false">IF(U4=0,0,U6/U4)</f>
        <v>0</v>
      </c>
      <c r="V7" s="15" t="n">
        <f aca="false">IF(V4=0,0,V6/V4)</f>
        <v>0</v>
      </c>
      <c r="W7" s="15" t="n">
        <f aca="false">IF(W4=0,0,W6/W4)</f>
        <v>0</v>
      </c>
      <c r="X7" s="15" t="n">
        <f aca="false">IF(X4=0,0,X6/X4)</f>
        <v>0</v>
      </c>
      <c r="Y7" s="15" t="n">
        <f aca="false">IF(Y4=0,0,Y6/Y4)</f>
        <v>0</v>
      </c>
    </row>
    <row r="8" customFormat="false" ht="15" hidden="false" customHeight="true" outlineLevel="0" collapsed="false">
      <c r="A8" s="12" t="s">
        <v>190</v>
      </c>
      <c r="C8" s="17" t="n">
        <f aca="false">-'Project Cash Flows'!C11</f>
        <v>-4.4206</v>
      </c>
      <c r="D8" s="17" t="n">
        <f aca="false">-'Project Cash Flows'!D11</f>
        <v>-6.8826</v>
      </c>
      <c r="E8" s="17" t="n">
        <f aca="false">-'Project Cash Flows'!E11</f>
        <v>-9.1081</v>
      </c>
      <c r="F8" s="17" t="n">
        <f aca="false">-'Project Cash Flows'!F11</f>
        <v>-10.3832</v>
      </c>
      <c r="G8" s="17" t="n">
        <f aca="false">-'Project Cash Flows'!G11</f>
        <v>-11.3582</v>
      </c>
      <c r="H8" s="17" t="n">
        <f aca="false">-'Project Cash Flows'!H11</f>
        <v>-8.6907</v>
      </c>
      <c r="I8" s="17" t="n">
        <f aca="false">-'Project Cash Flows'!I11</f>
        <v>-12.2225</v>
      </c>
      <c r="J8" s="17" t="n">
        <f aca="false">-'Project Cash Flows'!J11</f>
        <v>-11.9768</v>
      </c>
      <c r="K8" s="17" t="n">
        <f aca="false">-'Project Cash Flows'!K11</f>
        <v>-13.1194</v>
      </c>
      <c r="L8" s="17" t="n">
        <f aca="false">-'Project Cash Flows'!L11</f>
        <v>-7.1699</v>
      </c>
      <c r="M8" s="17" t="n">
        <f aca="false">-'Project Cash Flows'!M11</f>
        <v>-5.2672</v>
      </c>
      <c r="N8" s="17" t="n">
        <f aca="false">-'Project Cash Flows'!N11</f>
        <v>-6.0046</v>
      </c>
      <c r="O8" s="17" t="n">
        <f aca="false">-'Project Cash Flows'!O11</f>
        <v>-0</v>
      </c>
      <c r="P8" s="17" t="n">
        <f aca="false">-'Project Cash Flows'!P11</f>
        <v>-0</v>
      </c>
      <c r="Q8" s="17" t="n">
        <f aca="false">-'Project Cash Flows'!Q11</f>
        <v>-0</v>
      </c>
      <c r="R8" s="17" t="n">
        <f aca="false">-'Project Cash Flows'!R11</f>
        <v>-0</v>
      </c>
      <c r="S8" s="17" t="n">
        <f aca="false">-'Project Cash Flows'!S11</f>
        <v>-0</v>
      </c>
      <c r="T8" s="17" t="n">
        <f aca="false">-'Project Cash Flows'!T11</f>
        <v>-0</v>
      </c>
      <c r="U8" s="17" t="n">
        <f aca="false">-'Project Cash Flows'!U11</f>
        <v>-0</v>
      </c>
      <c r="V8" s="17" t="n">
        <f aca="false">-'Project Cash Flows'!V11</f>
        <v>-0</v>
      </c>
      <c r="W8" s="17" t="n">
        <f aca="false">-'Project Cash Flows'!W11</f>
        <v>-0</v>
      </c>
      <c r="X8" s="17" t="n">
        <f aca="false">-'Project Cash Flows'!X11</f>
        <v>-0</v>
      </c>
      <c r="Y8" s="17" t="n">
        <f aca="false">-'Project Cash Flows'!Y11</f>
        <v>-0</v>
      </c>
    </row>
    <row r="9" customFormat="false" ht="15" hidden="false" customHeight="true" outlineLevel="0" collapsed="false">
      <c r="A9" s="12" t="s">
        <v>197</v>
      </c>
      <c r="C9" s="33" t="n">
        <f aca="false">-C4*Assumptions!$B$18</f>
        <v>-2.502105</v>
      </c>
      <c r="D9" s="33" t="n">
        <f aca="false">-D4*Assumptions!$B$18</f>
        <v>-3.404905</v>
      </c>
      <c r="E9" s="33" t="n">
        <f aca="false">-E4*Assumptions!$B$18</f>
        <v>-4.569195</v>
      </c>
      <c r="F9" s="33" t="n">
        <f aca="false">-F4*Assumptions!$B$18</f>
        <v>-5.8965</v>
      </c>
      <c r="G9" s="33" t="n">
        <f aca="false">-G4*Assumptions!$B$18</f>
        <v>-7.22068</v>
      </c>
      <c r="H9" s="33" t="n">
        <f aca="false">-H4*Assumptions!$B$18</f>
        <v>-7.701475</v>
      </c>
      <c r="I9" s="33" t="n">
        <f aca="false">-I4*Assumptions!$B$18</f>
        <v>-8.36397</v>
      </c>
      <c r="J9" s="33" t="n">
        <f aca="false">-J4*Assumptions!$B$18</f>
        <v>-7.03679</v>
      </c>
      <c r="K9" s="33" t="n">
        <f aca="false">-K4*Assumptions!$B$18</f>
        <v>-7.591555</v>
      </c>
      <c r="L9" s="33" t="n">
        <f aca="false">-L4*Assumptions!$B$18</f>
        <v>-7.27896</v>
      </c>
      <c r="M9" s="33" t="n">
        <f aca="false">-M4*Assumptions!$B$18</f>
        <v>-7.144715</v>
      </c>
      <c r="N9" s="33" t="n">
        <f aca="false">-N4*Assumptions!$B$18</f>
        <v>-7.018105</v>
      </c>
      <c r="O9" s="33" t="n">
        <f aca="false">-O4*Assumptions!$B$18</f>
        <v>-5.906325</v>
      </c>
      <c r="P9" s="33" t="n">
        <f aca="false">-P4*Assumptions!$B$18</f>
        <v>-4.842745</v>
      </c>
      <c r="Q9" s="33" t="n">
        <f aca="false">-Q4*Assumptions!$B$18</f>
        <v>-3.69387</v>
      </c>
      <c r="R9" s="33" t="n">
        <f aca="false">-R4*Assumptions!$B$18</f>
        <v>-2.384145</v>
      </c>
      <c r="S9" s="33" t="n">
        <f aca="false">-S4*Assumptions!$B$18</f>
        <v>-0.891055</v>
      </c>
      <c r="T9" s="33" t="n">
        <f aca="false">-T4*Assumptions!$B$18</f>
        <v>-0</v>
      </c>
      <c r="U9" s="33" t="n">
        <f aca="false">-U4*Assumptions!$B$18</f>
        <v>-0</v>
      </c>
      <c r="V9" s="33" t="n">
        <f aca="false">-V4*Assumptions!$B$18</f>
        <v>-0</v>
      </c>
      <c r="W9" s="33" t="n">
        <f aca="false">-W4*Assumptions!$B$18</f>
        <v>-0</v>
      </c>
      <c r="X9" s="33" t="n">
        <f aca="false">-X4*Assumptions!$B$18</f>
        <v>-0</v>
      </c>
      <c r="Y9" s="33" t="n">
        <f aca="false">-Y4*Assumptions!$B$18</f>
        <v>-0</v>
      </c>
    </row>
    <row r="10" customFormat="false" ht="15" hidden="false" customHeight="true" outlineLevel="0" collapsed="false">
      <c r="A10" s="10" t="s">
        <v>198</v>
      </c>
      <c r="C10" s="35" t="n">
        <f aca="false">C6+C8+C9</f>
        <v>13.873895</v>
      </c>
      <c r="D10" s="35" t="n">
        <f aca="false">D6+D8+D9</f>
        <v>18.749095</v>
      </c>
      <c r="E10" s="35" t="n">
        <f aca="false">E6+E8+E9</f>
        <v>25.667105</v>
      </c>
      <c r="F10" s="35" t="n">
        <f aca="false">F6+F8+F9</f>
        <v>34.8162</v>
      </c>
      <c r="G10" s="35" t="n">
        <f aca="false">G6+G8+G9</f>
        <v>44.13452</v>
      </c>
      <c r="H10" s="35" t="n">
        <f aca="false">H6+H8+H9</f>
        <v>50.011425</v>
      </c>
      <c r="I10" s="35" t="n">
        <f aca="false">I6+I8+I9</f>
        <v>49.96973</v>
      </c>
      <c r="J10" s="35" t="n">
        <f aca="false">J6+J8+J9</f>
        <v>39.34001</v>
      </c>
      <c r="K10" s="35" t="n">
        <f aca="false">K6+K8+K9</f>
        <v>40.431045</v>
      </c>
      <c r="L10" s="35" t="n">
        <f aca="false">L6+L8+L9</f>
        <v>41.76464</v>
      </c>
      <c r="M10" s="35" t="n">
        <f aca="false">M6+M8+M9</f>
        <v>41.443685</v>
      </c>
      <c r="N10" s="35" t="n">
        <f aca="false">N6+N8+N9</f>
        <v>38.360395</v>
      </c>
      <c r="O10" s="35" t="n">
        <f aca="false">O6+O8+O9</f>
        <v>36.880975</v>
      </c>
      <c r="P10" s="35" t="n">
        <f aca="false">P6+P8+P9</f>
        <v>30.053055</v>
      </c>
      <c r="Q10" s="35" t="n">
        <f aca="false">Q6+Q8+Q9</f>
        <v>22.70443</v>
      </c>
      <c r="R10" s="35" t="n">
        <f aca="false">R6+R8+R9</f>
        <v>14.327055</v>
      </c>
      <c r="S10" s="35" t="n">
        <f aca="false">S6+S8+S9</f>
        <v>4.776945</v>
      </c>
      <c r="T10" s="35" t="n">
        <f aca="false">T6+T8+T9</f>
        <v>0</v>
      </c>
      <c r="U10" s="35" t="n">
        <f aca="false">U6+U8+U9</f>
        <v>0</v>
      </c>
      <c r="V10" s="35" t="n">
        <f aca="false">V6+V8+V9</f>
        <v>0</v>
      </c>
      <c r="W10" s="35" t="n">
        <f aca="false">W6+W8+W9</f>
        <v>0</v>
      </c>
      <c r="X10" s="35" t="n">
        <f aca="false">X6+X8+X9</f>
        <v>0</v>
      </c>
      <c r="Y10" s="35" t="n">
        <f aca="false">Y6+Y8+Y9</f>
        <v>0</v>
      </c>
    </row>
    <row r="11" customFormat="false" ht="15" hidden="false" customHeight="true" outlineLevel="0" collapsed="false">
      <c r="A11" s="12" t="s">
        <v>199</v>
      </c>
      <c r="C11" s="15" t="n">
        <f aca="false">IF(C4=0,0,C10/C4)</f>
        <v>0.277244460164541</v>
      </c>
      <c r="D11" s="15" t="n">
        <f aca="false">IF(D4=0,0,D10/D4)</f>
        <v>0.275324788797338</v>
      </c>
      <c r="E11" s="15" t="n">
        <f aca="false">IF(E4=0,0,E10/E4)</f>
        <v>0.28087119284688</v>
      </c>
      <c r="F11" s="15" t="n">
        <f aca="false">IF(F4=0,0,F10/F4)</f>
        <v>0.295227677435767</v>
      </c>
      <c r="G11" s="15" t="n">
        <f aca="false">IF(G4=0,0,G10/G4)</f>
        <v>0.305611936825895</v>
      </c>
      <c r="H11" s="15" t="n">
        <f aca="false">IF(H4=0,0,H10/H4)</f>
        <v>0.324687316390691</v>
      </c>
      <c r="I11" s="15" t="n">
        <f aca="false">IF(I4=0,0,I10/I4)</f>
        <v>0.298720165184715</v>
      </c>
      <c r="J11" s="15" t="n">
        <f aca="false">IF(J4=0,0,J10/J4)</f>
        <v>0.279530936691304</v>
      </c>
      <c r="K11" s="15" t="n">
        <f aca="false">IF(K4=0,0,K10/K4)</f>
        <v>0.266289613919678</v>
      </c>
      <c r="L11" s="15" t="n">
        <f aca="false">IF(L4=0,0,L10/L4)</f>
        <v>0.286886038664864</v>
      </c>
      <c r="M11" s="15" t="n">
        <f aca="false">IF(M4=0,0,M10/M4)</f>
        <v>0.290030358103857</v>
      </c>
      <c r="N11" s="15" t="n">
        <f aca="false">IF(N4=0,0,N10/N4)</f>
        <v>0.273295960946723</v>
      </c>
      <c r="O11" s="15" t="n">
        <f aca="false">IF(O4=0,0,O10/O4)</f>
        <v>0.31221592953317</v>
      </c>
      <c r="P11" s="15" t="n">
        <f aca="false">IF(P4=0,0,P10/P4)</f>
        <v>0.310289463930065</v>
      </c>
      <c r="Q11" s="15" t="n">
        <f aca="false">IF(Q4=0,0,Q10/Q4)</f>
        <v>0.307325785693595</v>
      </c>
      <c r="R11" s="15" t="n">
        <f aca="false">IF(R4=0,0,R10/R4)</f>
        <v>0.300465261131349</v>
      </c>
      <c r="S11" s="15" t="n">
        <f aca="false">IF(S4=0,0,S10/S4)</f>
        <v>0.268049952023164</v>
      </c>
      <c r="T11" s="15" t="n">
        <f aca="false">IF(T4=0,0,T10/T4)</f>
        <v>0</v>
      </c>
      <c r="U11" s="15" t="n">
        <f aca="false">IF(U4=0,0,U10/U4)</f>
        <v>0</v>
      </c>
      <c r="V11" s="15" t="n">
        <f aca="false">IF(V4=0,0,V10/V4)</f>
        <v>0</v>
      </c>
      <c r="W11" s="15" t="n">
        <f aca="false">IF(W4=0,0,W10/W4)</f>
        <v>0</v>
      </c>
      <c r="X11" s="15" t="n">
        <f aca="false">IF(X4=0,0,X10/X4)</f>
        <v>0</v>
      </c>
      <c r="Y11" s="15" t="n">
        <f aca="false">IF(Y4=0,0,Y10/Y4)</f>
        <v>0</v>
      </c>
    </row>
    <row r="12" customFormat="false" ht="15" hidden="false" customHeight="true" outlineLevel="0" collapsed="false">
      <c r="A12" s="12" t="s">
        <v>200</v>
      </c>
      <c r="C12" s="33" t="n">
        <f aca="false">-C4*Assumptions!$B$19</f>
        <v>-0.2502105</v>
      </c>
      <c r="D12" s="33" t="n">
        <f aca="false">-D4*Assumptions!$B$19</f>
        <v>-0.3404905</v>
      </c>
      <c r="E12" s="33" t="n">
        <f aca="false">-E4*Assumptions!$B$19</f>
        <v>-0.4569195</v>
      </c>
      <c r="F12" s="33" t="n">
        <f aca="false">-F4*Assumptions!$B$19</f>
        <v>-0.58965</v>
      </c>
      <c r="G12" s="33" t="n">
        <f aca="false">-G4*Assumptions!$B$19</f>
        <v>-0.722068</v>
      </c>
      <c r="H12" s="33" t="n">
        <f aca="false">-H4*Assumptions!$B$19</f>
        <v>-0.7701475</v>
      </c>
      <c r="I12" s="33" t="n">
        <f aca="false">-I4*Assumptions!$B$19</f>
        <v>-0.836397</v>
      </c>
      <c r="J12" s="33" t="n">
        <f aca="false">-J4*Assumptions!$B$19</f>
        <v>-0.703679</v>
      </c>
      <c r="K12" s="33" t="n">
        <f aca="false">-K4*Assumptions!$B$19</f>
        <v>-0.7591555</v>
      </c>
      <c r="L12" s="33" t="n">
        <f aca="false">-L4*Assumptions!$B$19</f>
        <v>-0.727896</v>
      </c>
      <c r="M12" s="33" t="n">
        <f aca="false">-M4*Assumptions!$B$19</f>
        <v>-0.7144715</v>
      </c>
      <c r="N12" s="33" t="n">
        <f aca="false">-N4*Assumptions!$B$19</f>
        <v>-0.7018105</v>
      </c>
      <c r="O12" s="33" t="n">
        <f aca="false">-O4*Assumptions!$B$19</f>
        <v>-0.5906325</v>
      </c>
      <c r="P12" s="33" t="n">
        <f aca="false">-P4*Assumptions!$B$19</f>
        <v>-0.4842745</v>
      </c>
      <c r="Q12" s="33" t="n">
        <f aca="false">-Q4*Assumptions!$B$19</f>
        <v>-0.369387</v>
      </c>
      <c r="R12" s="33" t="n">
        <f aca="false">-R4*Assumptions!$B$19</f>
        <v>-0.2384145</v>
      </c>
      <c r="S12" s="33" t="n">
        <f aca="false">-S4*Assumptions!$B$19</f>
        <v>-0.0891055</v>
      </c>
      <c r="T12" s="33" t="n">
        <f aca="false">-T4*Assumptions!$B$19</f>
        <v>-0</v>
      </c>
      <c r="U12" s="33" t="n">
        <f aca="false">-U4*Assumptions!$B$19</f>
        <v>-0</v>
      </c>
      <c r="V12" s="33" t="n">
        <f aca="false">-V4*Assumptions!$B$19</f>
        <v>-0</v>
      </c>
      <c r="W12" s="33" t="n">
        <f aca="false">-W4*Assumptions!$B$19</f>
        <v>-0</v>
      </c>
      <c r="X12" s="33" t="n">
        <f aca="false">-X4*Assumptions!$B$19</f>
        <v>-0</v>
      </c>
      <c r="Y12" s="33" t="n">
        <f aca="false">-Y4*Assumptions!$B$19</f>
        <v>-0</v>
      </c>
    </row>
    <row r="13" customFormat="false" ht="15" hidden="false" customHeight="true" outlineLevel="0" collapsed="false">
      <c r="A13" s="10" t="s">
        <v>201</v>
      </c>
      <c r="C13" s="35" t="n">
        <f aca="false">C10+C12</f>
        <v>13.6236845</v>
      </c>
      <c r="D13" s="35" t="n">
        <f aca="false">D10+D12</f>
        <v>18.4086045</v>
      </c>
      <c r="E13" s="35" t="n">
        <f aca="false">E10+E12</f>
        <v>25.2101855</v>
      </c>
      <c r="F13" s="35" t="n">
        <f aca="false">F10+F12</f>
        <v>34.22655</v>
      </c>
      <c r="G13" s="35" t="n">
        <f aca="false">G10+G12</f>
        <v>43.412452</v>
      </c>
      <c r="H13" s="35" t="n">
        <f aca="false">H10+H12</f>
        <v>49.2412775</v>
      </c>
      <c r="I13" s="35" t="n">
        <f aca="false">I10+I12</f>
        <v>49.133333</v>
      </c>
      <c r="J13" s="35" t="n">
        <f aca="false">J10+J12</f>
        <v>38.636331</v>
      </c>
      <c r="K13" s="35" t="n">
        <f aca="false">K10+K12</f>
        <v>39.6718895</v>
      </c>
      <c r="L13" s="35" t="n">
        <f aca="false">L10+L12</f>
        <v>41.036744</v>
      </c>
      <c r="M13" s="35" t="n">
        <f aca="false">M10+M12</f>
        <v>40.7292135</v>
      </c>
      <c r="N13" s="35" t="n">
        <f aca="false">N10+N12</f>
        <v>37.6585845</v>
      </c>
      <c r="O13" s="35" t="n">
        <f aca="false">O10+O12</f>
        <v>36.2903425</v>
      </c>
      <c r="P13" s="35" t="n">
        <f aca="false">P10+P12</f>
        <v>29.5687805</v>
      </c>
      <c r="Q13" s="35" t="n">
        <f aca="false">Q10+Q12</f>
        <v>22.335043</v>
      </c>
      <c r="R13" s="35" t="n">
        <f aca="false">R10+R12</f>
        <v>14.0886405</v>
      </c>
      <c r="S13" s="35" t="n">
        <f aca="false">S10+S12</f>
        <v>4.6878395</v>
      </c>
      <c r="T13" s="35" t="n">
        <f aca="false">T10+T12</f>
        <v>0</v>
      </c>
      <c r="U13" s="35" t="n">
        <f aca="false">U10+U12</f>
        <v>0</v>
      </c>
      <c r="V13" s="35" t="n">
        <f aca="false">V10+V12</f>
        <v>0</v>
      </c>
      <c r="W13" s="35" t="n">
        <f aca="false">W10+W12</f>
        <v>0</v>
      </c>
      <c r="X13" s="35" t="n">
        <f aca="false">X10+X12</f>
        <v>0</v>
      </c>
      <c r="Y13" s="35" t="n">
        <f aca="false">Y10+Y12</f>
        <v>0</v>
      </c>
    </row>
    <row r="14" customFormat="false" ht="15" hidden="false" customHeight="true" outlineLevel="0" collapsed="false">
      <c r="A14" s="12" t="s">
        <v>202</v>
      </c>
      <c r="C14" s="15" t="n">
        <f aca="false">IF(C4=0,0,C13/C4)</f>
        <v>0.272244460164541</v>
      </c>
      <c r="D14" s="15" t="n">
        <f aca="false">IF(D4=0,0,D13/D4)</f>
        <v>0.270324788797338</v>
      </c>
      <c r="E14" s="15" t="n">
        <f aca="false">IF(E4=0,0,E13/E4)</f>
        <v>0.27587119284688</v>
      </c>
      <c r="F14" s="15" t="n">
        <f aca="false">IF(F4=0,0,F13/F4)</f>
        <v>0.290227677435767</v>
      </c>
      <c r="G14" s="15" t="n">
        <f aca="false">IF(G4=0,0,G13/G4)</f>
        <v>0.300611936825895</v>
      </c>
      <c r="H14" s="15" t="n">
        <f aca="false">IF(H4=0,0,H13/H4)</f>
        <v>0.319687316390691</v>
      </c>
      <c r="I14" s="15" t="n">
        <f aca="false">IF(I4=0,0,I13/I4)</f>
        <v>0.293720165184715</v>
      </c>
      <c r="J14" s="15" t="n">
        <f aca="false">IF(J4=0,0,J13/J4)</f>
        <v>0.274530936691304</v>
      </c>
      <c r="K14" s="15" t="n">
        <f aca="false">IF(K4=0,0,K13/K4)</f>
        <v>0.261289613919678</v>
      </c>
      <c r="L14" s="15" t="n">
        <f aca="false">IF(L4=0,0,L13/L4)</f>
        <v>0.281886038664864</v>
      </c>
      <c r="M14" s="15" t="n">
        <f aca="false">IF(M4=0,0,M13/M4)</f>
        <v>0.285030358103857</v>
      </c>
      <c r="N14" s="15" t="n">
        <f aca="false">IF(N4=0,0,N13/N4)</f>
        <v>0.268295960946723</v>
      </c>
      <c r="O14" s="15" t="n">
        <f aca="false">IF(O4=0,0,O13/O4)</f>
        <v>0.30721592953317</v>
      </c>
      <c r="P14" s="15" t="n">
        <f aca="false">IF(P4=0,0,P13/P4)</f>
        <v>0.305289463930065</v>
      </c>
      <c r="Q14" s="15" t="n">
        <f aca="false">IF(Q4=0,0,Q13/Q4)</f>
        <v>0.302325785693595</v>
      </c>
      <c r="R14" s="15" t="n">
        <f aca="false">IF(R4=0,0,R13/R4)</f>
        <v>0.295465261131349</v>
      </c>
      <c r="S14" s="15" t="n">
        <f aca="false">IF(S4=0,0,S13/S4)</f>
        <v>0.263049952023164</v>
      </c>
      <c r="T14" s="15" t="n">
        <f aca="false">IF(T4=0,0,T13/T4)</f>
        <v>0</v>
      </c>
      <c r="U14" s="15" t="n">
        <f aca="false">IF(U4=0,0,U13/U4)</f>
        <v>0</v>
      </c>
      <c r="V14" s="15" t="n">
        <f aca="false">IF(V4=0,0,V13/V4)</f>
        <v>0</v>
      </c>
      <c r="W14" s="15" t="n">
        <f aca="false">IF(W4=0,0,W13/W4)</f>
        <v>0</v>
      </c>
      <c r="X14" s="15" t="n">
        <f aca="false">IF(X4=0,0,X13/X4)</f>
        <v>0</v>
      </c>
      <c r="Y14" s="15" t="n">
        <f aca="false">IF(Y4=0,0,Y13/Y4)</f>
        <v>0</v>
      </c>
    </row>
    <row r="15" customFormat="false" ht="15" hidden="false" customHeight="true" outlineLevel="0" collapsed="false">
      <c r="A15" s="12" t="s">
        <v>203</v>
      </c>
      <c r="C15" s="17" t="n">
        <f aca="false">-'Debt Schedule'!C5</f>
        <v>-5.4</v>
      </c>
      <c r="D15" s="17" t="n">
        <f aca="false">-'Debt Schedule'!D5</f>
        <v>-3.84628401225</v>
      </c>
      <c r="E15" s="17" t="n">
        <f aca="false">-'Debt Schedule'!E5</f>
        <v>-4.03553630420887</v>
      </c>
      <c r="F15" s="17" t="n">
        <f aca="false">-'Debt Schedule'!F5</f>
        <v>-4.44988674139601</v>
      </c>
      <c r="G15" s="17" t="n">
        <f aca="false">-'Debt Schedule'!G5</f>
        <v>-5.12191421682075</v>
      </c>
      <c r="H15" s="17" t="n">
        <f aca="false">-'Debt Schedule'!H5</f>
        <v>-5.81294019606725</v>
      </c>
      <c r="I15" s="17" t="n">
        <f aca="false">-'Debt Schedule'!I5</f>
        <v>-5.57469914216863</v>
      </c>
      <c r="J15" s="17" t="n">
        <f aca="false">-'Debt Schedule'!J5</f>
        <v>-4.51746171900115</v>
      </c>
      <c r="K15" s="17" t="n">
        <f aca="false">-'Debt Schedule'!K5</f>
        <v>-2.91768945430181</v>
      </c>
      <c r="L15" s="17" t="n">
        <f aca="false">-'Debt Schedule'!L5</f>
        <v>-0</v>
      </c>
      <c r="M15" s="17" t="n">
        <f aca="false">-'Debt Schedule'!M5</f>
        <v>-0</v>
      </c>
      <c r="N15" s="17" t="n">
        <f aca="false">-'Debt Schedule'!N5</f>
        <v>-0</v>
      </c>
      <c r="O15" s="17" t="n">
        <f aca="false">-'Debt Schedule'!O5</f>
        <v>-0</v>
      </c>
      <c r="P15" s="17" t="n">
        <f aca="false">-'Debt Schedule'!P5</f>
        <v>-0</v>
      </c>
      <c r="Q15" s="17" t="n">
        <f aca="false">-'Debt Schedule'!Q5</f>
        <v>-0</v>
      </c>
      <c r="R15" s="17" t="n">
        <f aca="false">-'Debt Schedule'!R5</f>
        <v>-0</v>
      </c>
      <c r="S15" s="17" t="n">
        <f aca="false">-'Debt Schedule'!S5</f>
        <v>-0</v>
      </c>
      <c r="T15" s="17" t="n">
        <f aca="false">-'Debt Schedule'!T5</f>
        <v>-0</v>
      </c>
      <c r="U15" s="17" t="n">
        <f aca="false">-'Debt Schedule'!U5</f>
        <v>-0</v>
      </c>
      <c r="V15" s="17" t="n">
        <f aca="false">-'Debt Schedule'!V5</f>
        <v>-0</v>
      </c>
      <c r="W15" s="17" t="n">
        <f aca="false">-'Debt Schedule'!W5</f>
        <v>-0</v>
      </c>
      <c r="X15" s="17" t="n">
        <f aca="false">-'Debt Schedule'!X5</f>
        <v>-0</v>
      </c>
      <c r="Y15" s="17" t="n">
        <f aca="false">-'Debt Schedule'!Y5</f>
        <v>-0</v>
      </c>
    </row>
    <row r="16" customFormat="false" ht="15" hidden="false" customHeight="true" outlineLevel="0" collapsed="false">
      <c r="A16" s="12" t="s">
        <v>204</v>
      </c>
      <c r="C16" s="35" t="n">
        <f aca="false">C13+C15</f>
        <v>8.2236845</v>
      </c>
      <c r="D16" s="35" t="n">
        <f aca="false">D13+D15</f>
        <v>14.56232048775</v>
      </c>
      <c r="E16" s="35" t="n">
        <f aca="false">E13+E15</f>
        <v>21.1746491957911</v>
      </c>
      <c r="F16" s="35" t="n">
        <f aca="false">F13+F15</f>
        <v>29.776663258604</v>
      </c>
      <c r="G16" s="35" t="n">
        <f aca="false">G13+G15</f>
        <v>38.2905377831793</v>
      </c>
      <c r="H16" s="35" t="n">
        <f aca="false">H13+H15</f>
        <v>43.4283373039327</v>
      </c>
      <c r="I16" s="35" t="n">
        <f aca="false">I13+I15</f>
        <v>43.5586338578314</v>
      </c>
      <c r="J16" s="35" t="n">
        <f aca="false">J13+J15</f>
        <v>34.1188692809988</v>
      </c>
      <c r="K16" s="35" t="n">
        <f aca="false">K13+K15</f>
        <v>36.7542000456982</v>
      </c>
      <c r="L16" s="35" t="n">
        <f aca="false">L13+L15</f>
        <v>41.036744</v>
      </c>
      <c r="M16" s="35" t="n">
        <f aca="false">M13+M15</f>
        <v>40.7292135</v>
      </c>
      <c r="N16" s="35" t="n">
        <f aca="false">N13+N15</f>
        <v>37.6585845</v>
      </c>
      <c r="O16" s="35" t="n">
        <f aca="false">O13+O15</f>
        <v>36.2903425</v>
      </c>
      <c r="P16" s="35" t="n">
        <f aca="false">P13+P15</f>
        <v>29.5687805</v>
      </c>
      <c r="Q16" s="35" t="n">
        <f aca="false">Q13+Q15</f>
        <v>22.335043</v>
      </c>
      <c r="R16" s="35" t="n">
        <f aca="false">R13+R15</f>
        <v>14.0886405</v>
      </c>
      <c r="S16" s="35" t="n">
        <f aca="false">S13+S15</f>
        <v>4.6878395</v>
      </c>
      <c r="T16" s="35" t="n">
        <f aca="false">T13+T15</f>
        <v>0</v>
      </c>
      <c r="U16" s="35" t="n">
        <f aca="false">U13+U15</f>
        <v>0</v>
      </c>
      <c r="V16" s="35" t="n">
        <f aca="false">V13+V15</f>
        <v>0</v>
      </c>
      <c r="W16" s="35" t="n">
        <f aca="false">W13+W15</f>
        <v>0</v>
      </c>
      <c r="X16" s="35" t="n">
        <f aca="false">X13+X15</f>
        <v>0</v>
      </c>
      <c r="Y16" s="35" t="n">
        <f aca="false">Y13+Y15</f>
        <v>0</v>
      </c>
    </row>
    <row r="17" customFormat="false" ht="15" hidden="false" customHeight="true" outlineLevel="0" collapsed="false">
      <c r="A17" s="12" t="s">
        <v>205</v>
      </c>
      <c r="C17" s="33" t="n">
        <f aca="false">-MAX(C16,0)*Assumptions!$B$11</f>
        <v>-1.8503290125</v>
      </c>
      <c r="D17" s="33" t="n">
        <f aca="false">-MAX(D16,0)*Assumptions!$B$11</f>
        <v>-3.27652210974375</v>
      </c>
      <c r="E17" s="33" t="n">
        <f aca="false">-MAX(E16,0)*Assumptions!$B$11</f>
        <v>-4.764296069053</v>
      </c>
      <c r="F17" s="33" t="n">
        <f aca="false">-MAX(F16,0)*Assumptions!$B$11</f>
        <v>-6.69974923318589</v>
      </c>
      <c r="G17" s="33" t="n">
        <f aca="false">-MAX(G16,0)*Assumptions!$B$11</f>
        <v>-8.61537100121534</v>
      </c>
      <c r="H17" s="33" t="n">
        <f aca="false">-MAX(H16,0)*Assumptions!$B$11</f>
        <v>-9.77137589338487</v>
      </c>
      <c r="I17" s="33" t="n">
        <f aca="false">-MAX(I16,0)*Assumptions!$B$11</f>
        <v>-9.80069261801206</v>
      </c>
      <c r="J17" s="33" t="n">
        <f aca="false">-MAX(J16,0)*Assumptions!$B$11</f>
        <v>-7.67674558822474</v>
      </c>
      <c r="K17" s="33" t="n">
        <f aca="false">-MAX(K16,0)*Assumptions!$B$11</f>
        <v>-8.26969501028209</v>
      </c>
      <c r="L17" s="33" t="n">
        <f aca="false">-MAX(L16,0)*Assumptions!$B$11</f>
        <v>-9.2332674</v>
      </c>
      <c r="M17" s="33" t="n">
        <f aca="false">-MAX(M16,0)*Assumptions!$B$11</f>
        <v>-9.1640730375</v>
      </c>
      <c r="N17" s="33" t="n">
        <f aca="false">-MAX(N16,0)*Assumptions!$B$11</f>
        <v>-8.4731815125</v>
      </c>
      <c r="O17" s="33" t="n">
        <f aca="false">-MAX(O16,0)*Assumptions!$B$11</f>
        <v>-8.1653270625</v>
      </c>
      <c r="P17" s="33" t="n">
        <f aca="false">-MAX(P16,0)*Assumptions!$B$11</f>
        <v>-6.6529756125</v>
      </c>
      <c r="Q17" s="33" t="n">
        <f aca="false">-MAX(Q16,0)*Assumptions!$B$11</f>
        <v>-5.025384675</v>
      </c>
      <c r="R17" s="33" t="n">
        <f aca="false">-MAX(R16,0)*Assumptions!$B$11</f>
        <v>-3.1699441125</v>
      </c>
      <c r="S17" s="33" t="n">
        <f aca="false">-MAX(S16,0)*Assumptions!$B$11</f>
        <v>-1.0547638875</v>
      </c>
      <c r="T17" s="33" t="n">
        <f aca="false">-MAX(T16,0)*Assumptions!$B$11</f>
        <v>-0</v>
      </c>
      <c r="U17" s="33" t="n">
        <f aca="false">-MAX(U16,0)*Assumptions!$B$11</f>
        <v>-0</v>
      </c>
      <c r="V17" s="33" t="n">
        <f aca="false">-MAX(V16,0)*Assumptions!$B$11</f>
        <v>-0</v>
      </c>
      <c r="W17" s="33" t="n">
        <f aca="false">-MAX(W16,0)*Assumptions!$B$11</f>
        <v>-0</v>
      </c>
      <c r="X17" s="33" t="n">
        <f aca="false">-MAX(X16,0)*Assumptions!$B$11</f>
        <v>-0</v>
      </c>
      <c r="Y17" s="33" t="n">
        <f aca="false">-MAX(Y16,0)*Assumptions!$B$11</f>
        <v>-0</v>
      </c>
    </row>
    <row r="18" customFormat="false" ht="15" hidden="false" customHeight="true" outlineLevel="0" collapsed="false">
      <c r="A18" s="10" t="s">
        <v>206</v>
      </c>
      <c r="C18" s="36" t="n">
        <f aca="false">C16+C17</f>
        <v>6.3733554875</v>
      </c>
      <c r="D18" s="36" t="n">
        <f aca="false">D16+D17</f>
        <v>11.2857983780062</v>
      </c>
      <c r="E18" s="36" t="n">
        <f aca="false">E16+E17</f>
        <v>16.4103531267381</v>
      </c>
      <c r="F18" s="36" t="n">
        <f aca="false">F16+F17</f>
        <v>23.0769140254181</v>
      </c>
      <c r="G18" s="36" t="n">
        <f aca="false">G16+G17</f>
        <v>29.6751667819639</v>
      </c>
      <c r="H18" s="36" t="n">
        <f aca="false">H16+H17</f>
        <v>33.6569614105479</v>
      </c>
      <c r="I18" s="36" t="n">
        <f aca="false">I16+I17</f>
        <v>33.7579412398193</v>
      </c>
      <c r="J18" s="36" t="n">
        <f aca="false">J16+J17</f>
        <v>26.4421236927741</v>
      </c>
      <c r="K18" s="36" t="n">
        <f aca="false">K16+K17</f>
        <v>28.4845050354161</v>
      </c>
      <c r="L18" s="36" t="n">
        <f aca="false">L16+L17</f>
        <v>31.8034766</v>
      </c>
      <c r="M18" s="36" t="n">
        <f aca="false">M16+M17</f>
        <v>31.5651404625</v>
      </c>
      <c r="N18" s="36" t="n">
        <f aca="false">N16+N17</f>
        <v>29.1854029875</v>
      </c>
      <c r="O18" s="36" t="n">
        <f aca="false">O16+O17</f>
        <v>28.1250154375</v>
      </c>
      <c r="P18" s="36" t="n">
        <f aca="false">P16+P17</f>
        <v>22.9158048875</v>
      </c>
      <c r="Q18" s="36" t="n">
        <f aca="false">Q16+Q17</f>
        <v>17.309658325</v>
      </c>
      <c r="R18" s="36" t="n">
        <f aca="false">R16+R17</f>
        <v>10.9186963875</v>
      </c>
      <c r="S18" s="36" t="n">
        <f aca="false">S16+S17</f>
        <v>3.6330756125</v>
      </c>
      <c r="T18" s="36" t="n">
        <f aca="false">T16+T17</f>
        <v>0</v>
      </c>
      <c r="U18" s="36" t="n">
        <f aca="false">U16+U17</f>
        <v>0</v>
      </c>
      <c r="V18" s="36" t="n">
        <f aca="false">V16+V17</f>
        <v>0</v>
      </c>
      <c r="W18" s="36" t="n">
        <f aca="false">W16+W17</f>
        <v>0</v>
      </c>
      <c r="X18" s="36" t="n">
        <f aca="false">X16+X17</f>
        <v>0</v>
      </c>
      <c r="Y18" s="36" t="n">
        <f aca="false">Y16+Y17</f>
        <v>0</v>
      </c>
    </row>
    <row r="19" customFormat="false" ht="15" hidden="false" customHeight="true" outlineLevel="0" collapsed="false">
      <c r="A19" s="12" t="s">
        <v>207</v>
      </c>
      <c r="C19" s="15" t="n">
        <f aca="false">IF(C4=0,0,C18/C4)</f>
        <v>0.127359872737155</v>
      </c>
      <c r="D19" s="15" t="n">
        <f aca="false">IF(D4=0,0,D18/D4)</f>
        <v>0.165728535421785</v>
      </c>
      <c r="E19" s="15" t="n">
        <f aca="false">IF(E4=0,0,E18/E4)</f>
        <v>0.179575977023722</v>
      </c>
      <c r="F19" s="15" t="n">
        <f aca="false">IF(F4=0,0,F18/F4)</f>
        <v>0.195683151237328</v>
      </c>
      <c r="G19" s="15" t="n">
        <f aca="false">IF(G4=0,0,G18/G4)</f>
        <v>0.205487341787504</v>
      </c>
      <c r="H19" s="15" t="n">
        <f aca="false">IF(H4=0,0,H18/H4)</f>
        <v>0.218509840066662</v>
      </c>
      <c r="I19" s="15" t="n">
        <f aca="false">IF(I4=0,0,I18/I4)</f>
        <v>0.201805728857345</v>
      </c>
      <c r="J19" s="15" t="n">
        <f aca="false">IF(J4=0,0,J18/J4)</f>
        <v>0.187884843037622</v>
      </c>
      <c r="K19" s="15" t="n">
        <f aca="false">IF(K4=0,0,K18/K4)</f>
        <v>0.187606524851734</v>
      </c>
      <c r="L19" s="15" t="n">
        <f aca="false">IF(L4=0,0,L18/L4)</f>
        <v>0.21846167996527</v>
      </c>
      <c r="M19" s="15" t="n">
        <f aca="false">IF(M4=0,0,M18/M4)</f>
        <v>0.220898527530489</v>
      </c>
      <c r="N19" s="15" t="n">
        <f aca="false">IF(N4=0,0,N18/N4)</f>
        <v>0.20792936973371</v>
      </c>
      <c r="O19" s="15" t="n">
        <f aca="false">IF(O4=0,0,O18/O4)</f>
        <v>0.238092345388207</v>
      </c>
      <c r="P19" s="15" t="n">
        <f aca="false">IF(P4=0,0,P18/P4)</f>
        <v>0.2365993345458</v>
      </c>
      <c r="Q19" s="15" t="n">
        <f aca="false">IF(Q4=0,0,Q18/Q4)</f>
        <v>0.234302483912536</v>
      </c>
      <c r="R19" s="15" t="n">
        <f aca="false">IF(R4=0,0,R18/R4)</f>
        <v>0.228985577376796</v>
      </c>
      <c r="S19" s="15" t="n">
        <f aca="false">IF(S4=0,0,S18/S4)</f>
        <v>0.203863712817952</v>
      </c>
      <c r="T19" s="15" t="n">
        <f aca="false">IF(T4=0,0,T18/T4)</f>
        <v>0</v>
      </c>
      <c r="U19" s="15" t="n">
        <f aca="false">IF(U4=0,0,U18/U4)</f>
        <v>0</v>
      </c>
      <c r="V19" s="15" t="n">
        <f aca="false">IF(V4=0,0,V18/V4)</f>
        <v>0</v>
      </c>
      <c r="W19" s="15" t="n">
        <f aca="false">IF(W4=0,0,W18/W4)</f>
        <v>0</v>
      </c>
      <c r="X19" s="15" t="n">
        <f aca="false">IF(X4=0,0,X18/X4)</f>
        <v>0</v>
      </c>
      <c r="Y19" s="15" t="n">
        <f aca="false">IF(Y4=0,0,Y18/Y4)</f>
        <v>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Y1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4" width="24"/>
    <col collapsed="false" customWidth="true" hidden="false" outlineLevel="0" max="25" min="3" style="4" width="8"/>
  </cols>
  <sheetData>
    <row r="1" customFormat="false" ht="21.75" hidden="false" customHeight="true" outlineLevel="0" collapsed="false">
      <c r="A1" s="5" t="s">
        <v>208</v>
      </c>
      <c r="B1" s="6"/>
      <c r="C1" s="6"/>
      <c r="D1" s="6"/>
      <c r="E1" s="6"/>
      <c r="F1" s="6"/>
      <c r="G1" s="6"/>
      <c r="H1" s="6"/>
      <c r="I1" s="6"/>
      <c r="J1" s="6"/>
      <c r="K1" s="6"/>
      <c r="L1" s="6"/>
      <c r="M1" s="6"/>
      <c r="N1" s="6"/>
      <c r="O1" s="6"/>
      <c r="P1" s="6"/>
      <c r="Q1" s="6"/>
      <c r="R1" s="6"/>
      <c r="S1" s="6"/>
      <c r="T1" s="6"/>
      <c r="U1" s="6"/>
      <c r="V1" s="6"/>
      <c r="W1" s="6"/>
      <c r="X1" s="6"/>
      <c r="Y1" s="6"/>
    </row>
    <row r="2" customFormat="false" ht="15" hidden="false" customHeight="true" outlineLevel="0" collapsed="false">
      <c r="A2" s="7" t="s">
        <v>209</v>
      </c>
    </row>
    <row r="3" customFormat="false" ht="15" hidden="false" customHeight="true" outlineLevel="0" collapsed="false">
      <c r="A3" s="40" t="s">
        <v>159</v>
      </c>
      <c r="C3" s="41" t="s">
        <v>160</v>
      </c>
      <c r="D3" s="41" t="s">
        <v>161</v>
      </c>
      <c r="E3" s="41" t="s">
        <v>162</v>
      </c>
      <c r="F3" s="41" t="s">
        <v>163</v>
      </c>
      <c r="G3" s="41" t="s">
        <v>164</v>
      </c>
      <c r="H3" s="41" t="s">
        <v>165</v>
      </c>
      <c r="I3" s="41" t="s">
        <v>166</v>
      </c>
      <c r="J3" s="41" t="s">
        <v>167</v>
      </c>
      <c r="K3" s="41" t="s">
        <v>168</v>
      </c>
      <c r="L3" s="41" t="s">
        <v>169</v>
      </c>
      <c r="M3" s="41" t="s">
        <v>170</v>
      </c>
      <c r="N3" s="41" t="s">
        <v>171</v>
      </c>
      <c r="O3" s="41" t="s">
        <v>172</v>
      </c>
      <c r="P3" s="41" t="s">
        <v>173</v>
      </c>
      <c r="Q3" s="41" t="s">
        <v>174</v>
      </c>
      <c r="R3" s="41" t="s">
        <v>175</v>
      </c>
      <c r="S3" s="41" t="s">
        <v>176</v>
      </c>
      <c r="T3" s="41" t="s">
        <v>177</v>
      </c>
      <c r="U3" s="41" t="s">
        <v>178</v>
      </c>
      <c r="V3" s="41" t="s">
        <v>179</v>
      </c>
      <c r="W3" s="41" t="s">
        <v>180</v>
      </c>
      <c r="X3" s="41" t="s">
        <v>181</v>
      </c>
      <c r="Y3" s="41" t="s">
        <v>182</v>
      </c>
    </row>
    <row r="4" customFormat="false" ht="15" hidden="false" customHeight="true" outlineLevel="0" collapsed="false">
      <c r="A4" s="12" t="s">
        <v>210</v>
      </c>
      <c r="C4" s="17" t="n">
        <f aca="false">Assumptions!$B$6</f>
        <v>30</v>
      </c>
      <c r="D4" s="33" t="n">
        <f aca="false">C18</f>
        <v>21.3682445125</v>
      </c>
      <c r="E4" s="33" t="n">
        <f aca="false">D18</f>
        <v>22.4196461344937</v>
      </c>
      <c r="F4" s="33" t="n">
        <f aca="false">E18</f>
        <v>24.7215930077556</v>
      </c>
      <c r="G4" s="33" t="n">
        <f aca="false">F18</f>
        <v>28.4550789823375</v>
      </c>
      <c r="H4" s="33" t="n">
        <f aca="false">G18</f>
        <v>32.2941122003736</v>
      </c>
      <c r="I4" s="33" t="n">
        <f aca="false">H18</f>
        <v>30.9705507898257</v>
      </c>
      <c r="J4" s="33" t="n">
        <f aca="false">I18</f>
        <v>25.0970095500064</v>
      </c>
      <c r="K4" s="33" t="n">
        <f aca="false">J18</f>
        <v>16.2093858572323</v>
      </c>
      <c r="L4" s="33" t="n">
        <f aca="false">K18</f>
        <v>0</v>
      </c>
      <c r="M4" s="33" t="n">
        <f aca="false">L18</f>
        <v>0</v>
      </c>
      <c r="N4" s="33" t="n">
        <f aca="false">M18</f>
        <v>0</v>
      </c>
      <c r="O4" s="33" t="n">
        <f aca="false">N18</f>
        <v>0</v>
      </c>
      <c r="P4" s="33" t="n">
        <f aca="false">O18</f>
        <v>0</v>
      </c>
      <c r="Q4" s="33" t="n">
        <f aca="false">P18</f>
        <v>0</v>
      </c>
      <c r="R4" s="33" t="n">
        <f aca="false">Q18</f>
        <v>0</v>
      </c>
      <c r="S4" s="33" t="n">
        <f aca="false">R18</f>
        <v>0</v>
      </c>
      <c r="T4" s="33" t="n">
        <f aca="false">S18</f>
        <v>0</v>
      </c>
      <c r="U4" s="33" t="n">
        <f aca="false">T18</f>
        <v>0</v>
      </c>
      <c r="V4" s="33" t="n">
        <f aca="false">U18</f>
        <v>0</v>
      </c>
      <c r="W4" s="33" t="n">
        <f aca="false">V18</f>
        <v>0</v>
      </c>
      <c r="X4" s="33" t="n">
        <f aca="false">W18</f>
        <v>0</v>
      </c>
      <c r="Y4" s="33" t="n">
        <f aca="false">X18</f>
        <v>0</v>
      </c>
    </row>
    <row r="5" customFormat="false" ht="15" hidden="false" customHeight="true" outlineLevel="0" collapsed="false">
      <c r="A5" s="12" t="s">
        <v>203</v>
      </c>
      <c r="C5" s="33" t="n">
        <f aca="false">C4*Assumptions!$B$12</f>
        <v>5.4</v>
      </c>
      <c r="D5" s="33" t="n">
        <f aca="false">D4*Assumptions!$B$12</f>
        <v>3.84628401225</v>
      </c>
      <c r="E5" s="33" t="n">
        <f aca="false">E4*Assumptions!$B$12</f>
        <v>4.03553630420887</v>
      </c>
      <c r="F5" s="33" t="n">
        <f aca="false">F4*Assumptions!$B$12</f>
        <v>4.44988674139601</v>
      </c>
      <c r="G5" s="33" t="n">
        <f aca="false">G4*Assumptions!$B$12</f>
        <v>5.12191421682075</v>
      </c>
      <c r="H5" s="33" t="n">
        <f aca="false">H4*Assumptions!$B$12</f>
        <v>5.81294019606725</v>
      </c>
      <c r="I5" s="33" t="n">
        <f aca="false">I4*Assumptions!$B$12</f>
        <v>5.57469914216863</v>
      </c>
      <c r="J5" s="33" t="n">
        <f aca="false">J4*Assumptions!$B$12</f>
        <v>4.51746171900115</v>
      </c>
      <c r="K5" s="33" t="n">
        <f aca="false">K4*Assumptions!$B$12</f>
        <v>2.91768945430181</v>
      </c>
      <c r="L5" s="33" t="n">
        <f aca="false">L4*Assumptions!$B$12</f>
        <v>0</v>
      </c>
      <c r="M5" s="33" t="n">
        <f aca="false">M4*Assumptions!$B$12</f>
        <v>0</v>
      </c>
      <c r="N5" s="33" t="n">
        <f aca="false">N4*Assumptions!$B$12</f>
        <v>0</v>
      </c>
      <c r="O5" s="33" t="n">
        <f aca="false">O4*Assumptions!$B$12</f>
        <v>0</v>
      </c>
      <c r="P5" s="33" t="n">
        <f aca="false">P4*Assumptions!$B$12</f>
        <v>0</v>
      </c>
      <c r="Q5" s="33" t="n">
        <f aca="false">Q4*Assumptions!$B$12</f>
        <v>0</v>
      </c>
      <c r="R5" s="33" t="n">
        <f aca="false">R4*Assumptions!$B$12</f>
        <v>0</v>
      </c>
      <c r="S5" s="33" t="n">
        <f aca="false">S4*Assumptions!$B$12</f>
        <v>0</v>
      </c>
      <c r="T5" s="33" t="n">
        <f aca="false">T4*Assumptions!$B$12</f>
        <v>0</v>
      </c>
      <c r="U5" s="33" t="n">
        <f aca="false">U4*Assumptions!$B$12</f>
        <v>0</v>
      </c>
      <c r="V5" s="33" t="n">
        <f aca="false">V4*Assumptions!$B$12</f>
        <v>0</v>
      </c>
      <c r="W5" s="33" t="n">
        <f aca="false">W4*Assumptions!$B$12</f>
        <v>0</v>
      </c>
      <c r="X5" s="33" t="n">
        <f aca="false">X4*Assumptions!$B$12</f>
        <v>0</v>
      </c>
      <c r="Y5" s="33" t="n">
        <f aca="false">Y4*Assumptions!$B$12</f>
        <v>0</v>
      </c>
    </row>
    <row r="6" customFormat="false" ht="15" hidden="false" customHeight="true" outlineLevel="0" collapsed="false">
      <c r="A6" s="12" t="s">
        <v>184</v>
      </c>
      <c r="C6" s="17" t="n">
        <f aca="false">'Project Cash Flows'!C6</f>
        <v>33.0702</v>
      </c>
      <c r="D6" s="17" t="n">
        <f aca="false">'Project Cash Flows'!D6</f>
        <v>42.7014</v>
      </c>
      <c r="E6" s="17" t="n">
        <f aca="false">'Project Cash Flows'!E6</f>
        <v>54.3828</v>
      </c>
      <c r="F6" s="17" t="n">
        <f aca="false">'Project Cash Flows'!F6</f>
        <v>66.87</v>
      </c>
      <c r="G6" s="17" t="n">
        <f aca="false">'Project Cash Flows'!G6</f>
        <v>80.307</v>
      </c>
      <c r="H6" s="17" t="n">
        <f aca="false">'Project Cash Flows'!H6</f>
        <v>88.7519</v>
      </c>
      <c r="I6" s="17" t="n">
        <f aca="false">'Project Cash Flows'!I6</f>
        <v>102.5047</v>
      </c>
      <c r="J6" s="17" t="n">
        <f aca="false">'Project Cash Flows'!J6</f>
        <v>89.2108</v>
      </c>
      <c r="K6" s="17" t="n">
        <f aca="false">'Project Cash Flows'!K6</f>
        <v>103.8864</v>
      </c>
      <c r="L6" s="17" t="n">
        <f aca="false">'Project Cash Flows'!L6</f>
        <v>107.8873</v>
      </c>
      <c r="M6" s="17" t="n">
        <f aca="false">'Project Cash Flows'!M6</f>
        <v>111.1871</v>
      </c>
      <c r="N6" s="17" t="n">
        <f aca="false">'Project Cash Flows'!N6</f>
        <v>115.07</v>
      </c>
      <c r="O6" s="17" t="n">
        <f aca="false">'Project Cash Flows'!O6</f>
        <v>110.8806</v>
      </c>
      <c r="P6" s="17" t="n">
        <f aca="false">'Project Cash Flows'!P6</f>
        <v>108.4372</v>
      </c>
      <c r="Q6" s="17" t="n">
        <f aca="false">'Project Cash Flows'!Q6</f>
        <v>101.8008</v>
      </c>
      <c r="R6" s="17" t="n">
        <f aca="false">'Project Cash Flows'!R6</f>
        <v>99.1376</v>
      </c>
      <c r="S6" s="17" t="n">
        <f aca="false">'Project Cash Flows'!S6</f>
        <v>96.3988</v>
      </c>
      <c r="T6" s="17" t="n">
        <f aca="false">'Project Cash Flows'!T6</f>
        <v>89.8422</v>
      </c>
      <c r="U6" s="17" t="n">
        <f aca="false">'Project Cash Flows'!U6</f>
        <v>77.8202</v>
      </c>
      <c r="V6" s="17" t="n">
        <f aca="false">'Project Cash Flows'!V6</f>
        <v>59.0402</v>
      </c>
      <c r="W6" s="17" t="n">
        <f aca="false">'Project Cash Flows'!W6</f>
        <v>37.6308</v>
      </c>
      <c r="X6" s="17" t="n">
        <f aca="false">'Project Cash Flows'!X6</f>
        <v>13.2243</v>
      </c>
      <c r="Y6" s="17" t="n">
        <f aca="false">'Project Cash Flows'!Y6</f>
        <v>0</v>
      </c>
    </row>
    <row r="7" customFormat="false" ht="15" hidden="false" customHeight="true" outlineLevel="0" collapsed="false">
      <c r="A7" s="12" t="s">
        <v>211</v>
      </c>
      <c r="C7" s="17" t="n">
        <f aca="false">-'Project Cash Flows'!C9</f>
        <v>-20.0152</v>
      </c>
      <c r="D7" s="17" t="n">
        <f aca="false">-'Project Cash Flows'!D9</f>
        <v>-26.002</v>
      </c>
      <c r="E7" s="17" t="n">
        <f aca="false">-'Project Cash Flows'!E9</f>
        <v>-33.7507</v>
      </c>
      <c r="F7" s="17" t="n">
        <f aca="false">-'Project Cash Flows'!F9</f>
        <v>-42.5845</v>
      </c>
      <c r="G7" s="17" t="n">
        <f aca="false">-'Project Cash Flows'!G9</f>
        <v>-51.1078</v>
      </c>
      <c r="H7" s="17" t="n">
        <f aca="false">-'Project Cash Flows'!H9</f>
        <v>-54.6817</v>
      </c>
      <c r="I7" s="17" t="n">
        <f aca="false">-'Project Cash Flows'!I9</f>
        <v>-59.8329</v>
      </c>
      <c r="J7" s="17" t="n">
        <f aca="false">-'Project Cash Flows'!J9</f>
        <v>-48.4117</v>
      </c>
      <c r="K7" s="17" t="n">
        <f aca="false">-'Project Cash Flows'!K9</f>
        <v>-52.7433</v>
      </c>
      <c r="L7" s="17" t="n">
        <f aca="false">-'Project Cash Flows'!L9</f>
        <v>-51.5656</v>
      </c>
      <c r="M7" s="17" t="n">
        <f aca="false">-'Project Cash Flows'!M9</f>
        <v>-51.2048</v>
      </c>
      <c r="N7" s="17" t="n">
        <f aca="false">-'Project Cash Flows'!N9</f>
        <v>-51.0061</v>
      </c>
      <c r="O7" s="17" t="n">
        <f aca="false">-'Project Cash Flows'!O9</f>
        <v>-42.9132</v>
      </c>
      <c r="P7" s="17" t="n">
        <f aca="false">-'Project Cash Flows'!P9</f>
        <v>-35.201</v>
      </c>
      <c r="Q7" s="17" t="n">
        <f aca="false">-'Project Cash Flows'!Q9</f>
        <v>-26.9314</v>
      </c>
      <c r="R7" s="17" t="n">
        <f aca="false">-'Project Cash Flows'!R9</f>
        <v>-17.504</v>
      </c>
      <c r="S7" s="17" t="n">
        <f aca="false">-'Project Cash Flows'!S9</f>
        <v>-6.7569</v>
      </c>
      <c r="T7" s="17" t="n">
        <f aca="false">-'Project Cash Flows'!T9</f>
        <v>-0</v>
      </c>
      <c r="U7" s="17" t="n">
        <f aca="false">-'Project Cash Flows'!U9</f>
        <v>-0</v>
      </c>
      <c r="V7" s="17" t="n">
        <f aca="false">-'Project Cash Flows'!V9</f>
        <v>-0</v>
      </c>
      <c r="W7" s="17" t="n">
        <f aca="false">-'Project Cash Flows'!W9</f>
        <v>-0</v>
      </c>
      <c r="X7" s="17" t="n">
        <f aca="false">-'Project Cash Flows'!X9</f>
        <v>-0</v>
      </c>
      <c r="Y7" s="17" t="n">
        <f aca="false">-'Project Cash Flows'!Y9</f>
        <v>-0</v>
      </c>
    </row>
    <row r="8" customFormat="false" ht="15" hidden="false" customHeight="true" outlineLevel="0" collapsed="false">
      <c r="A8" s="12" t="s">
        <v>212</v>
      </c>
      <c r="C8" s="17" t="n">
        <f aca="false">-'Project Cash Flows'!C10</f>
        <v>-0</v>
      </c>
      <c r="D8" s="17" t="n">
        <f aca="false">-'Project Cash Flows'!D10</f>
        <v>-0</v>
      </c>
      <c r="E8" s="17" t="n">
        <f aca="false">-'Project Cash Flows'!E10</f>
        <v>-0</v>
      </c>
      <c r="F8" s="17" t="n">
        <f aca="false">-'Project Cash Flows'!F10</f>
        <v>-0</v>
      </c>
      <c r="G8" s="17" t="n">
        <f aca="false">-'Project Cash Flows'!G10</f>
        <v>-0</v>
      </c>
      <c r="H8" s="17" t="n">
        <f aca="false">-'Project Cash Flows'!H10</f>
        <v>-0</v>
      </c>
      <c r="I8" s="17" t="n">
        <f aca="false">-'Project Cash Flows'!I10</f>
        <v>-0</v>
      </c>
      <c r="J8" s="17" t="n">
        <f aca="false">-'Project Cash Flows'!J10</f>
        <v>-0</v>
      </c>
      <c r="K8" s="17" t="n">
        <f aca="false">-'Project Cash Flows'!K10</f>
        <v>-0</v>
      </c>
      <c r="L8" s="17" t="n">
        <f aca="false">-'Project Cash Flows'!L10</f>
        <v>-0</v>
      </c>
      <c r="M8" s="17" t="n">
        <f aca="false">-'Project Cash Flows'!M10</f>
        <v>-0</v>
      </c>
      <c r="N8" s="17" t="n">
        <f aca="false">-'Project Cash Flows'!N10</f>
        <v>-0</v>
      </c>
      <c r="O8" s="17" t="n">
        <f aca="false">-'Project Cash Flows'!O10</f>
        <v>-0</v>
      </c>
      <c r="P8" s="17" t="n">
        <f aca="false">-'Project Cash Flows'!P10</f>
        <v>-0</v>
      </c>
      <c r="Q8" s="17" t="n">
        <f aca="false">-'Project Cash Flows'!Q10</f>
        <v>-0</v>
      </c>
      <c r="R8" s="17" t="n">
        <f aca="false">-'Project Cash Flows'!R10</f>
        <v>-0</v>
      </c>
      <c r="S8" s="17" t="n">
        <f aca="false">-'Project Cash Flows'!S10</f>
        <v>-0</v>
      </c>
      <c r="T8" s="17" t="n">
        <f aca="false">-'Project Cash Flows'!T10</f>
        <v>-0</v>
      </c>
      <c r="U8" s="17" t="n">
        <f aca="false">-'Project Cash Flows'!U10</f>
        <v>-0</v>
      </c>
      <c r="V8" s="17" t="n">
        <f aca="false">-'Project Cash Flows'!V10</f>
        <v>-0</v>
      </c>
      <c r="W8" s="17" t="n">
        <f aca="false">-'Project Cash Flows'!W10</f>
        <v>-0</v>
      </c>
      <c r="X8" s="17" t="n">
        <f aca="false">-'Project Cash Flows'!X10</f>
        <v>-0</v>
      </c>
      <c r="Y8" s="17" t="n">
        <f aca="false">-'Project Cash Flows'!Y10</f>
        <v>-0</v>
      </c>
    </row>
    <row r="9" customFormat="false" ht="15" hidden="false" customHeight="true" outlineLevel="0" collapsed="false">
      <c r="A9" s="12" t="s">
        <v>190</v>
      </c>
      <c r="C9" s="17" t="n">
        <f aca="false">-'Project Cash Flows'!C11</f>
        <v>-4.4206</v>
      </c>
      <c r="D9" s="17" t="n">
        <f aca="false">-'Project Cash Flows'!D11</f>
        <v>-6.8826</v>
      </c>
      <c r="E9" s="17" t="n">
        <f aca="false">-'Project Cash Flows'!E11</f>
        <v>-9.1081</v>
      </c>
      <c r="F9" s="17" t="n">
        <f aca="false">-'Project Cash Flows'!F11</f>
        <v>-10.3832</v>
      </c>
      <c r="G9" s="17" t="n">
        <f aca="false">-'Project Cash Flows'!G11</f>
        <v>-11.3582</v>
      </c>
      <c r="H9" s="17" t="n">
        <f aca="false">-'Project Cash Flows'!H11</f>
        <v>-8.6907</v>
      </c>
      <c r="I9" s="17" t="n">
        <f aca="false">-'Project Cash Flows'!I11</f>
        <v>-12.2225</v>
      </c>
      <c r="J9" s="17" t="n">
        <f aca="false">-'Project Cash Flows'!J11</f>
        <v>-11.9768</v>
      </c>
      <c r="K9" s="17" t="n">
        <f aca="false">-'Project Cash Flows'!K11</f>
        <v>-13.1194</v>
      </c>
      <c r="L9" s="17" t="n">
        <f aca="false">-'Project Cash Flows'!L11</f>
        <v>-7.1699</v>
      </c>
      <c r="M9" s="17" t="n">
        <f aca="false">-'Project Cash Flows'!M11</f>
        <v>-5.2672</v>
      </c>
      <c r="N9" s="17" t="n">
        <f aca="false">-'Project Cash Flows'!N11</f>
        <v>-6.0046</v>
      </c>
      <c r="O9" s="17" t="n">
        <f aca="false">-'Project Cash Flows'!O11</f>
        <v>-0</v>
      </c>
      <c r="P9" s="17" t="n">
        <f aca="false">-'Project Cash Flows'!P11</f>
        <v>-0</v>
      </c>
      <c r="Q9" s="17" t="n">
        <f aca="false">-'Project Cash Flows'!Q11</f>
        <v>-0</v>
      </c>
      <c r="R9" s="17" t="n">
        <f aca="false">-'Project Cash Flows'!R11</f>
        <v>-0</v>
      </c>
      <c r="S9" s="17" t="n">
        <f aca="false">-'Project Cash Flows'!S11</f>
        <v>-0</v>
      </c>
      <c r="T9" s="17" t="n">
        <f aca="false">-'Project Cash Flows'!T11</f>
        <v>-0</v>
      </c>
      <c r="U9" s="17" t="n">
        <f aca="false">-'Project Cash Flows'!U11</f>
        <v>-0</v>
      </c>
      <c r="V9" s="17" t="n">
        <f aca="false">-'Project Cash Flows'!V11</f>
        <v>-0</v>
      </c>
      <c r="W9" s="17" t="n">
        <f aca="false">-'Project Cash Flows'!W11</f>
        <v>-0</v>
      </c>
      <c r="X9" s="17" t="n">
        <f aca="false">-'Project Cash Flows'!X11</f>
        <v>-0</v>
      </c>
      <c r="Y9" s="17" t="n">
        <f aca="false">-'Project Cash Flows'!Y11</f>
        <v>-0</v>
      </c>
    </row>
    <row r="10" customFormat="false" ht="15" hidden="false" customHeight="true" outlineLevel="0" collapsed="false">
      <c r="A10" s="12" t="s">
        <v>197</v>
      </c>
      <c r="C10" s="17" t="n">
        <f aca="false">-'Income Statement'!C4*Assumptions!$B$18</f>
        <v>-2.502105</v>
      </c>
      <c r="D10" s="17" t="n">
        <f aca="false">-'Income Statement'!D4*Assumptions!$B$18</f>
        <v>-3.404905</v>
      </c>
      <c r="E10" s="17" t="n">
        <f aca="false">-'Income Statement'!E4*Assumptions!$B$18</f>
        <v>-4.569195</v>
      </c>
      <c r="F10" s="17" t="n">
        <f aca="false">-'Income Statement'!F4*Assumptions!$B$18</f>
        <v>-5.8965</v>
      </c>
      <c r="G10" s="17" t="n">
        <f aca="false">-'Income Statement'!G4*Assumptions!$B$18</f>
        <v>-7.22068</v>
      </c>
      <c r="H10" s="17" t="n">
        <f aca="false">-'Income Statement'!H4*Assumptions!$B$18</f>
        <v>-7.701475</v>
      </c>
      <c r="I10" s="17" t="n">
        <f aca="false">-'Income Statement'!I4*Assumptions!$B$18</f>
        <v>-8.36397</v>
      </c>
      <c r="J10" s="17" t="n">
        <f aca="false">-'Income Statement'!J4*Assumptions!$B$18</f>
        <v>-7.03679</v>
      </c>
      <c r="K10" s="17" t="n">
        <f aca="false">-'Income Statement'!K4*Assumptions!$B$18</f>
        <v>-7.591555</v>
      </c>
      <c r="L10" s="17" t="n">
        <f aca="false">-'Income Statement'!L4*Assumptions!$B$18</f>
        <v>-7.27896</v>
      </c>
      <c r="M10" s="17" t="n">
        <f aca="false">-'Income Statement'!M4*Assumptions!$B$18</f>
        <v>-7.144715</v>
      </c>
      <c r="N10" s="17" t="n">
        <f aca="false">-'Income Statement'!N4*Assumptions!$B$18</f>
        <v>-7.018105</v>
      </c>
      <c r="O10" s="17" t="n">
        <f aca="false">-'Income Statement'!O4*Assumptions!$B$18</f>
        <v>-5.906325</v>
      </c>
      <c r="P10" s="17" t="n">
        <f aca="false">-'Income Statement'!P4*Assumptions!$B$18</f>
        <v>-4.842745</v>
      </c>
      <c r="Q10" s="17" t="n">
        <f aca="false">-'Income Statement'!Q4*Assumptions!$B$18</f>
        <v>-3.69387</v>
      </c>
      <c r="R10" s="17" t="n">
        <f aca="false">-'Income Statement'!R4*Assumptions!$B$18</f>
        <v>-2.384145</v>
      </c>
      <c r="S10" s="17" t="n">
        <f aca="false">-'Income Statement'!S4*Assumptions!$B$18</f>
        <v>-0.891055</v>
      </c>
      <c r="T10" s="17" t="n">
        <f aca="false">-'Income Statement'!T4*Assumptions!$B$18</f>
        <v>-0</v>
      </c>
      <c r="U10" s="17" t="n">
        <f aca="false">-'Income Statement'!U4*Assumptions!$B$18</f>
        <v>-0</v>
      </c>
      <c r="V10" s="17" t="n">
        <f aca="false">-'Income Statement'!V4*Assumptions!$B$18</f>
        <v>-0</v>
      </c>
      <c r="W10" s="17" t="n">
        <f aca="false">-'Income Statement'!W4*Assumptions!$B$18</f>
        <v>-0</v>
      </c>
      <c r="X10" s="17" t="n">
        <f aca="false">-'Income Statement'!X4*Assumptions!$B$18</f>
        <v>-0</v>
      </c>
      <c r="Y10" s="17" t="n">
        <f aca="false">-'Income Statement'!Y4*Assumptions!$B$18</f>
        <v>-0</v>
      </c>
    </row>
    <row r="11" customFormat="false" ht="15" hidden="false" customHeight="true" outlineLevel="0" collapsed="false">
      <c r="A11" s="12" t="s">
        <v>213</v>
      </c>
      <c r="C11" s="17" t="n">
        <f aca="false">-'Income Statement'!C4*Assumptions!$B$19</f>
        <v>-0.2502105</v>
      </c>
      <c r="D11" s="17" t="n">
        <f aca="false">-'Income Statement'!D4*Assumptions!$B$19</f>
        <v>-0.3404905</v>
      </c>
      <c r="E11" s="17" t="n">
        <f aca="false">-'Income Statement'!E4*Assumptions!$B$19</f>
        <v>-0.4569195</v>
      </c>
      <c r="F11" s="17" t="n">
        <f aca="false">-'Income Statement'!F4*Assumptions!$B$19</f>
        <v>-0.58965</v>
      </c>
      <c r="G11" s="17" t="n">
        <f aca="false">-'Income Statement'!G4*Assumptions!$B$19</f>
        <v>-0.722068</v>
      </c>
      <c r="H11" s="17" t="n">
        <f aca="false">-'Income Statement'!H4*Assumptions!$B$19</f>
        <v>-0.7701475</v>
      </c>
      <c r="I11" s="17" t="n">
        <f aca="false">-'Income Statement'!I4*Assumptions!$B$19</f>
        <v>-0.836397</v>
      </c>
      <c r="J11" s="17" t="n">
        <f aca="false">-'Income Statement'!J4*Assumptions!$B$19</f>
        <v>-0.703679</v>
      </c>
      <c r="K11" s="17" t="n">
        <f aca="false">-'Income Statement'!K4*Assumptions!$B$19</f>
        <v>-0.7591555</v>
      </c>
      <c r="L11" s="17" t="n">
        <f aca="false">-'Income Statement'!L4*Assumptions!$B$19</f>
        <v>-0.727896</v>
      </c>
      <c r="M11" s="17" t="n">
        <f aca="false">-'Income Statement'!M4*Assumptions!$B$19</f>
        <v>-0.7144715</v>
      </c>
      <c r="N11" s="17" t="n">
        <f aca="false">-'Income Statement'!N4*Assumptions!$B$19</f>
        <v>-0.7018105</v>
      </c>
      <c r="O11" s="17" t="n">
        <f aca="false">-'Income Statement'!O4*Assumptions!$B$19</f>
        <v>-0.5906325</v>
      </c>
      <c r="P11" s="17" t="n">
        <f aca="false">-'Income Statement'!P4*Assumptions!$B$19</f>
        <v>-0.4842745</v>
      </c>
      <c r="Q11" s="17" t="n">
        <f aca="false">-'Income Statement'!Q4*Assumptions!$B$19</f>
        <v>-0.369387</v>
      </c>
      <c r="R11" s="17" t="n">
        <f aca="false">-'Income Statement'!R4*Assumptions!$B$19</f>
        <v>-0.2384145</v>
      </c>
      <c r="S11" s="17" t="n">
        <f aca="false">-'Income Statement'!S4*Assumptions!$B$19</f>
        <v>-0.0891055</v>
      </c>
      <c r="T11" s="17" t="n">
        <f aca="false">-'Income Statement'!T4*Assumptions!$B$19</f>
        <v>-0</v>
      </c>
      <c r="U11" s="17" t="n">
        <f aca="false">-'Income Statement'!U4*Assumptions!$B$19</f>
        <v>-0</v>
      </c>
      <c r="V11" s="17" t="n">
        <f aca="false">-'Income Statement'!V4*Assumptions!$B$19</f>
        <v>-0</v>
      </c>
      <c r="W11" s="17" t="n">
        <f aca="false">-'Income Statement'!W4*Assumptions!$B$19</f>
        <v>-0</v>
      </c>
      <c r="X11" s="17" t="n">
        <f aca="false">-'Income Statement'!X4*Assumptions!$B$19</f>
        <v>-0</v>
      </c>
      <c r="Y11" s="17" t="n">
        <f aca="false">-'Income Statement'!Y4*Assumptions!$B$19</f>
        <v>-0</v>
      </c>
    </row>
    <row r="12" customFormat="false" ht="15" hidden="false" customHeight="true" outlineLevel="0" collapsed="false">
      <c r="A12" s="12" t="s">
        <v>214</v>
      </c>
      <c r="C12" s="17" t="n">
        <f aca="false">'Income Statement'!C17</f>
        <v>-1.8503290125</v>
      </c>
      <c r="D12" s="17" t="n">
        <f aca="false">'Income Statement'!D17</f>
        <v>-3.27652210974375</v>
      </c>
      <c r="E12" s="17" t="n">
        <f aca="false">'Income Statement'!E17</f>
        <v>-4.764296069053</v>
      </c>
      <c r="F12" s="17" t="n">
        <f aca="false">'Income Statement'!F17</f>
        <v>-6.69974923318589</v>
      </c>
      <c r="G12" s="17" t="n">
        <f aca="false">'Income Statement'!G17</f>
        <v>-8.61537100121534</v>
      </c>
      <c r="H12" s="17" t="n">
        <f aca="false">'Income Statement'!H17</f>
        <v>-9.77137589338487</v>
      </c>
      <c r="I12" s="17" t="n">
        <f aca="false">'Income Statement'!I17</f>
        <v>-9.80069261801206</v>
      </c>
      <c r="J12" s="17" t="n">
        <f aca="false">'Income Statement'!J17</f>
        <v>-7.67674558822474</v>
      </c>
      <c r="K12" s="17" t="n">
        <f aca="false">'Income Statement'!K17</f>
        <v>-8.26969501028209</v>
      </c>
      <c r="L12" s="17" t="n">
        <f aca="false">'Income Statement'!L17</f>
        <v>-9.2332674</v>
      </c>
      <c r="M12" s="17" t="n">
        <f aca="false">'Income Statement'!M17</f>
        <v>-9.1640730375</v>
      </c>
      <c r="N12" s="17" t="n">
        <f aca="false">'Income Statement'!N17</f>
        <v>-8.4731815125</v>
      </c>
      <c r="O12" s="17" t="n">
        <f aca="false">'Income Statement'!O17</f>
        <v>-8.1653270625</v>
      </c>
      <c r="P12" s="17" t="n">
        <f aca="false">'Income Statement'!P17</f>
        <v>-6.6529756125</v>
      </c>
      <c r="Q12" s="17" t="n">
        <f aca="false">'Income Statement'!Q17</f>
        <v>-5.025384675</v>
      </c>
      <c r="R12" s="17" t="n">
        <f aca="false">'Income Statement'!R17</f>
        <v>-3.1699441125</v>
      </c>
      <c r="S12" s="17" t="n">
        <f aca="false">'Income Statement'!S17</f>
        <v>-1.0547638875</v>
      </c>
      <c r="T12" s="17" t="n">
        <f aca="false">'Income Statement'!T17</f>
        <v>-0</v>
      </c>
      <c r="U12" s="17" t="n">
        <f aca="false">'Income Statement'!U17</f>
        <v>-0</v>
      </c>
      <c r="V12" s="17" t="n">
        <f aca="false">'Income Statement'!V17</f>
        <v>-0</v>
      </c>
      <c r="W12" s="17" t="n">
        <f aca="false">'Income Statement'!W17</f>
        <v>-0</v>
      </c>
      <c r="X12" s="17" t="n">
        <f aca="false">'Income Statement'!X17</f>
        <v>-0</v>
      </c>
      <c r="Y12" s="17" t="n">
        <f aca="false">'Income Statement'!Y17</f>
        <v>-0</v>
      </c>
    </row>
    <row r="13" customFormat="false" ht="15" hidden="false" customHeight="true" outlineLevel="0" collapsed="false">
      <c r="A13" s="12" t="s">
        <v>215</v>
      </c>
      <c r="C13" s="33" t="n">
        <f aca="false">-C5</f>
        <v>-5.4</v>
      </c>
      <c r="D13" s="33" t="n">
        <f aca="false">-D5</f>
        <v>-3.84628401225</v>
      </c>
      <c r="E13" s="33" t="n">
        <f aca="false">-E5</f>
        <v>-4.03553630420887</v>
      </c>
      <c r="F13" s="33" t="n">
        <f aca="false">-F5</f>
        <v>-4.44988674139601</v>
      </c>
      <c r="G13" s="33" t="n">
        <f aca="false">-G5</f>
        <v>-5.12191421682075</v>
      </c>
      <c r="H13" s="33" t="n">
        <f aca="false">-H5</f>
        <v>-5.81294019606725</v>
      </c>
      <c r="I13" s="33" t="n">
        <f aca="false">-I5</f>
        <v>-5.57469914216863</v>
      </c>
      <c r="J13" s="33" t="n">
        <f aca="false">-J5</f>
        <v>-4.51746171900115</v>
      </c>
      <c r="K13" s="33" t="n">
        <f aca="false">-K5</f>
        <v>-2.91768945430181</v>
      </c>
      <c r="L13" s="33" t="n">
        <f aca="false">-L5</f>
        <v>-0</v>
      </c>
      <c r="M13" s="33" t="n">
        <f aca="false">-M5</f>
        <v>-0</v>
      </c>
      <c r="N13" s="33" t="n">
        <f aca="false">-N5</f>
        <v>-0</v>
      </c>
      <c r="O13" s="33" t="n">
        <f aca="false">-O5</f>
        <v>-0</v>
      </c>
      <c r="P13" s="33" t="n">
        <f aca="false">-P5</f>
        <v>-0</v>
      </c>
      <c r="Q13" s="33" t="n">
        <f aca="false">-Q5</f>
        <v>-0</v>
      </c>
      <c r="R13" s="33" t="n">
        <f aca="false">-R5</f>
        <v>-0</v>
      </c>
      <c r="S13" s="33" t="n">
        <f aca="false">-S5</f>
        <v>-0</v>
      </c>
      <c r="T13" s="33" t="n">
        <f aca="false">-T5</f>
        <v>-0</v>
      </c>
      <c r="U13" s="33" t="n">
        <f aca="false">-U5</f>
        <v>-0</v>
      </c>
      <c r="V13" s="33" t="n">
        <f aca="false">-V5</f>
        <v>-0</v>
      </c>
      <c r="W13" s="33" t="n">
        <f aca="false">-W5</f>
        <v>-0</v>
      </c>
      <c r="X13" s="33" t="n">
        <f aca="false">-X5</f>
        <v>-0</v>
      </c>
      <c r="Y13" s="33" t="n">
        <f aca="false">-Y5</f>
        <v>-0</v>
      </c>
    </row>
    <row r="14" customFormat="false" ht="15" hidden="false" customHeight="true" outlineLevel="0" collapsed="false">
      <c r="A14" s="10" t="s">
        <v>216</v>
      </c>
      <c r="C14" s="35" t="n">
        <f aca="false">SUM(C6:C13)</f>
        <v>-1.3682445125</v>
      </c>
      <c r="D14" s="35" t="n">
        <f aca="false">SUM(D6:D13)</f>
        <v>-1.05140162199374</v>
      </c>
      <c r="E14" s="35" t="n">
        <f aca="false">SUM(E6:E13)</f>
        <v>-2.30194687326187</v>
      </c>
      <c r="F14" s="35" t="n">
        <f aca="false">SUM(F6:F13)</f>
        <v>-3.7334859745819</v>
      </c>
      <c r="G14" s="35" t="n">
        <f aca="false">SUM(G6:G13)</f>
        <v>-3.83903321803609</v>
      </c>
      <c r="H14" s="35" t="n">
        <f aca="false">SUM(H6:H13)</f>
        <v>1.32356141054788</v>
      </c>
      <c r="I14" s="35" t="n">
        <f aca="false">SUM(I6:I13)</f>
        <v>5.87354123981932</v>
      </c>
      <c r="J14" s="35" t="n">
        <f aca="false">SUM(J6:J13)</f>
        <v>8.88762369277411</v>
      </c>
      <c r="K14" s="35" t="n">
        <f aca="false">SUM(K6:K13)</f>
        <v>18.4856050354161</v>
      </c>
      <c r="L14" s="35" t="n">
        <f aca="false">SUM(L6:L13)</f>
        <v>31.9116766</v>
      </c>
      <c r="M14" s="35" t="n">
        <f aca="false">SUM(M6:M13)</f>
        <v>37.6918404625</v>
      </c>
      <c r="N14" s="35" t="n">
        <f aca="false">SUM(N6:N13)</f>
        <v>41.8662029875</v>
      </c>
      <c r="O14" s="35" t="n">
        <f aca="false">SUM(O6:O13)</f>
        <v>53.3051154375</v>
      </c>
      <c r="P14" s="35" t="n">
        <f aca="false">SUM(P6:P13)</f>
        <v>61.2562048875</v>
      </c>
      <c r="Q14" s="35" t="n">
        <f aca="false">SUM(Q6:Q13)</f>
        <v>65.780758325</v>
      </c>
      <c r="R14" s="35" t="n">
        <f aca="false">SUM(R6:R13)</f>
        <v>75.8410963875</v>
      </c>
      <c r="S14" s="35" t="n">
        <f aca="false">SUM(S6:S13)</f>
        <v>87.6069756125</v>
      </c>
      <c r="T14" s="35" t="n">
        <f aca="false">SUM(T6:T13)</f>
        <v>89.8422</v>
      </c>
      <c r="U14" s="35" t="n">
        <f aca="false">SUM(U6:U13)</f>
        <v>77.8202</v>
      </c>
      <c r="V14" s="35" t="n">
        <f aca="false">SUM(V6:V13)</f>
        <v>59.0402</v>
      </c>
      <c r="W14" s="35" t="n">
        <f aca="false">SUM(W6:W13)</f>
        <v>37.6308</v>
      </c>
      <c r="X14" s="35" t="n">
        <f aca="false">SUM(X6:X13)</f>
        <v>13.2243</v>
      </c>
      <c r="Y14" s="35" t="n">
        <f aca="false">SUM(Y6:Y13)</f>
        <v>0</v>
      </c>
    </row>
    <row r="15" customFormat="false" ht="15" hidden="false" customHeight="true" outlineLevel="0" collapsed="false">
      <c r="A15" s="12" t="s">
        <v>217</v>
      </c>
      <c r="C15" s="17" t="n">
        <f aca="false">Assumptions!$B$7</f>
        <v>18</v>
      </c>
      <c r="D15" s="33" t="n">
        <f aca="false">C19</f>
        <v>8</v>
      </c>
      <c r="E15" s="33" t="n">
        <f aca="false">D19</f>
        <v>8</v>
      </c>
      <c r="F15" s="33" t="n">
        <f aca="false">E19</f>
        <v>8</v>
      </c>
      <c r="G15" s="33" t="n">
        <f aca="false">F19</f>
        <v>8</v>
      </c>
      <c r="H15" s="33" t="n">
        <f aca="false">G19</f>
        <v>8</v>
      </c>
      <c r="I15" s="33" t="n">
        <f aca="false">H19</f>
        <v>8</v>
      </c>
      <c r="J15" s="33" t="n">
        <f aca="false">I19</f>
        <v>8</v>
      </c>
      <c r="K15" s="33" t="n">
        <f aca="false">J19</f>
        <v>8</v>
      </c>
      <c r="L15" s="33" t="n">
        <f aca="false">K19</f>
        <v>10.2762191781838</v>
      </c>
      <c r="M15" s="33" t="n">
        <f aca="false">L19</f>
        <v>42.1878957781838</v>
      </c>
      <c r="N15" s="33" t="n">
        <f aca="false">M19</f>
        <v>79.8797362406838</v>
      </c>
      <c r="O15" s="33" t="n">
        <f aca="false">N19</f>
        <v>121.745939228184</v>
      </c>
      <c r="P15" s="33" t="n">
        <f aca="false">O19</f>
        <v>175.051054665684</v>
      </c>
      <c r="Q15" s="33" t="n">
        <f aca="false">P19</f>
        <v>236.307259553184</v>
      </c>
      <c r="R15" s="33" t="n">
        <f aca="false">Q19</f>
        <v>302.088017878184</v>
      </c>
      <c r="S15" s="33" t="n">
        <f aca="false">R19</f>
        <v>377.929114265684</v>
      </c>
      <c r="T15" s="33" t="n">
        <f aca="false">S19</f>
        <v>465.536089878184</v>
      </c>
      <c r="U15" s="33" t="n">
        <f aca="false">T19</f>
        <v>555.378289878184</v>
      </c>
      <c r="V15" s="33" t="n">
        <f aca="false">U19</f>
        <v>633.198489878184</v>
      </c>
      <c r="W15" s="33" t="n">
        <f aca="false">V19</f>
        <v>692.238689878184</v>
      </c>
      <c r="X15" s="33" t="n">
        <f aca="false">W19</f>
        <v>729.869489878184</v>
      </c>
      <c r="Y15" s="33" t="n">
        <f aca="false">X19</f>
        <v>743.093789878184</v>
      </c>
    </row>
    <row r="16" customFormat="false" ht="15" hidden="false" customHeight="true" outlineLevel="0" collapsed="false">
      <c r="A16" s="12" t="s">
        <v>218</v>
      </c>
      <c r="C16" s="33" t="n">
        <f aca="false">C15+C14</f>
        <v>16.6317554875</v>
      </c>
      <c r="D16" s="33" t="n">
        <f aca="false">D15+D14</f>
        <v>6.94859837800626</v>
      </c>
      <c r="E16" s="33" t="n">
        <f aca="false">E15+E14</f>
        <v>5.69805312673813</v>
      </c>
      <c r="F16" s="33" t="n">
        <f aca="false">F15+F14</f>
        <v>4.2665140254181</v>
      </c>
      <c r="G16" s="33" t="n">
        <f aca="false">G15+G14</f>
        <v>4.16096678196391</v>
      </c>
      <c r="H16" s="33" t="n">
        <f aca="false">H15+H14</f>
        <v>9.32356141054788</v>
      </c>
      <c r="I16" s="33" t="n">
        <f aca="false">I15+I14</f>
        <v>13.8735412398193</v>
      </c>
      <c r="J16" s="33" t="n">
        <f aca="false">J15+J14</f>
        <v>16.8876236927741</v>
      </c>
      <c r="K16" s="33" t="n">
        <f aca="false">K15+K14</f>
        <v>26.4856050354161</v>
      </c>
      <c r="L16" s="33" t="n">
        <f aca="false">L15+L14</f>
        <v>42.1878957781838</v>
      </c>
      <c r="M16" s="33" t="n">
        <f aca="false">M15+M14</f>
        <v>79.8797362406838</v>
      </c>
      <c r="N16" s="33" t="n">
        <f aca="false">N15+N14</f>
        <v>121.745939228184</v>
      </c>
      <c r="O16" s="33" t="n">
        <f aca="false">O15+O14</f>
        <v>175.051054665684</v>
      </c>
      <c r="P16" s="33" t="n">
        <f aca="false">P15+P14</f>
        <v>236.307259553184</v>
      </c>
      <c r="Q16" s="33" t="n">
        <f aca="false">Q15+Q14</f>
        <v>302.088017878184</v>
      </c>
      <c r="R16" s="33" t="n">
        <f aca="false">R15+R14</f>
        <v>377.929114265684</v>
      </c>
      <c r="S16" s="33" t="n">
        <f aca="false">S15+S14</f>
        <v>465.536089878184</v>
      </c>
      <c r="T16" s="33" t="n">
        <f aca="false">T15+T14</f>
        <v>555.378289878184</v>
      </c>
      <c r="U16" s="33" t="n">
        <f aca="false">U15+U14</f>
        <v>633.198489878184</v>
      </c>
      <c r="V16" s="33" t="n">
        <f aca="false">V15+V14</f>
        <v>692.238689878184</v>
      </c>
      <c r="W16" s="33" t="n">
        <f aca="false">W15+W14</f>
        <v>729.869489878184</v>
      </c>
      <c r="X16" s="33" t="n">
        <f aca="false">X15+X14</f>
        <v>743.093789878184</v>
      </c>
      <c r="Y16" s="33" t="n">
        <f aca="false">Y15+Y14</f>
        <v>743.093789878184</v>
      </c>
    </row>
    <row r="17" customFormat="false" ht="15" hidden="false" customHeight="true" outlineLevel="0" collapsed="false">
      <c r="A17" s="12" t="s">
        <v>219</v>
      </c>
      <c r="C17" s="33" t="n">
        <f aca="false">IF(C16&lt;Assumptions!$B$20,Assumptions!$B$20-C16,-MIN(C4,C16-Assumptions!$B$20))</f>
        <v>-8.6317554875</v>
      </c>
      <c r="D17" s="33" t="n">
        <f aca="false">IF(D16&lt;Assumptions!$B$20,Assumptions!$B$20-D16,-MIN(D4,D16-Assumptions!$B$20))</f>
        <v>1.05140162199374</v>
      </c>
      <c r="E17" s="33" t="n">
        <f aca="false">IF(E16&lt;Assumptions!$B$20,Assumptions!$B$20-E16,-MIN(E4,E16-Assumptions!$B$20))</f>
        <v>2.30194687326187</v>
      </c>
      <c r="F17" s="33" t="n">
        <f aca="false">IF(F16&lt;Assumptions!$B$20,Assumptions!$B$20-F16,-MIN(F4,F16-Assumptions!$B$20))</f>
        <v>3.7334859745819</v>
      </c>
      <c r="G17" s="33" t="n">
        <f aca="false">IF(G16&lt;Assumptions!$B$20,Assumptions!$B$20-G16,-MIN(G4,G16-Assumptions!$B$20))</f>
        <v>3.83903321803609</v>
      </c>
      <c r="H17" s="33" t="n">
        <f aca="false">IF(H16&lt;Assumptions!$B$20,Assumptions!$B$20-H16,-MIN(H4,H16-Assumptions!$B$20))</f>
        <v>-1.32356141054788</v>
      </c>
      <c r="I17" s="33" t="n">
        <f aca="false">IF(I16&lt;Assumptions!$B$20,Assumptions!$B$20-I16,-MIN(I4,I16-Assumptions!$B$20))</f>
        <v>-5.87354123981931</v>
      </c>
      <c r="J17" s="33" t="n">
        <f aca="false">IF(J16&lt;Assumptions!$B$20,Assumptions!$B$20-J16,-MIN(J4,J16-Assumptions!$B$20))</f>
        <v>-8.88762369277411</v>
      </c>
      <c r="K17" s="33" t="n">
        <f aca="false">IF(K16&lt;Assumptions!$B$20,Assumptions!$B$20-K16,-MIN(K4,K16-Assumptions!$B$20))</f>
        <v>-16.2093858572323</v>
      </c>
      <c r="L17" s="33" t="n">
        <f aca="false">IF(L16&lt;Assumptions!$B$20,Assumptions!$B$20-L16,-MIN(L4,L16-Assumptions!$B$20))</f>
        <v>-0</v>
      </c>
      <c r="M17" s="33" t="n">
        <f aca="false">IF(M16&lt;Assumptions!$B$20,Assumptions!$B$20-M16,-MIN(M4,M16-Assumptions!$B$20))</f>
        <v>-0</v>
      </c>
      <c r="N17" s="33" t="n">
        <f aca="false">IF(N16&lt;Assumptions!$B$20,Assumptions!$B$20-N16,-MIN(N4,N16-Assumptions!$B$20))</f>
        <v>-0</v>
      </c>
      <c r="O17" s="33" t="n">
        <f aca="false">IF(O16&lt;Assumptions!$B$20,Assumptions!$B$20-O16,-MIN(O4,O16-Assumptions!$B$20))</f>
        <v>-0</v>
      </c>
      <c r="P17" s="33" t="n">
        <f aca="false">IF(P16&lt;Assumptions!$B$20,Assumptions!$B$20-P16,-MIN(P4,P16-Assumptions!$B$20))</f>
        <v>-0</v>
      </c>
      <c r="Q17" s="33" t="n">
        <f aca="false">IF(Q16&lt;Assumptions!$B$20,Assumptions!$B$20-Q16,-MIN(Q4,Q16-Assumptions!$B$20))</f>
        <v>-0</v>
      </c>
      <c r="R17" s="33" t="n">
        <f aca="false">IF(R16&lt;Assumptions!$B$20,Assumptions!$B$20-R16,-MIN(R4,R16-Assumptions!$B$20))</f>
        <v>-0</v>
      </c>
      <c r="S17" s="33" t="n">
        <f aca="false">IF(S16&lt;Assumptions!$B$20,Assumptions!$B$20-S16,-MIN(S4,S16-Assumptions!$B$20))</f>
        <v>-0</v>
      </c>
      <c r="T17" s="33" t="n">
        <f aca="false">IF(T16&lt;Assumptions!$B$20,Assumptions!$B$20-T16,-MIN(T4,T16-Assumptions!$B$20))</f>
        <v>-0</v>
      </c>
      <c r="U17" s="33" t="n">
        <f aca="false">IF(U16&lt;Assumptions!$B$20,Assumptions!$B$20-U16,-MIN(U4,U16-Assumptions!$B$20))</f>
        <v>-0</v>
      </c>
      <c r="V17" s="33" t="n">
        <f aca="false">IF(V16&lt;Assumptions!$B$20,Assumptions!$B$20-V16,-MIN(V4,V16-Assumptions!$B$20))</f>
        <v>-0</v>
      </c>
      <c r="W17" s="33" t="n">
        <f aca="false">IF(W16&lt;Assumptions!$B$20,Assumptions!$B$20-W16,-MIN(W4,W16-Assumptions!$B$20))</f>
        <v>-0</v>
      </c>
      <c r="X17" s="33" t="n">
        <f aca="false">IF(X16&lt;Assumptions!$B$20,Assumptions!$B$20-X16,-MIN(X4,X16-Assumptions!$B$20))</f>
        <v>-0</v>
      </c>
      <c r="Y17" s="33" t="n">
        <f aca="false">IF(Y16&lt;Assumptions!$B$20,Assumptions!$B$20-Y16,-MIN(Y4,Y16-Assumptions!$B$20))</f>
        <v>-0</v>
      </c>
    </row>
    <row r="18" customFormat="false" ht="15" hidden="false" customHeight="true" outlineLevel="0" collapsed="false">
      <c r="A18" s="10" t="s">
        <v>220</v>
      </c>
      <c r="C18" s="35" t="n">
        <f aca="false">C4+C17</f>
        <v>21.3682445125</v>
      </c>
      <c r="D18" s="35" t="n">
        <f aca="false">D4+D17</f>
        <v>22.4196461344937</v>
      </c>
      <c r="E18" s="35" t="n">
        <f aca="false">E4+E17</f>
        <v>24.7215930077556</v>
      </c>
      <c r="F18" s="35" t="n">
        <f aca="false">F4+F17</f>
        <v>28.4550789823375</v>
      </c>
      <c r="G18" s="35" t="n">
        <f aca="false">G4+G17</f>
        <v>32.2941122003736</v>
      </c>
      <c r="H18" s="35" t="n">
        <f aca="false">H4+H17</f>
        <v>30.9705507898257</v>
      </c>
      <c r="I18" s="35" t="n">
        <f aca="false">I4+I17</f>
        <v>25.0970095500064</v>
      </c>
      <c r="J18" s="35" t="n">
        <f aca="false">J4+J17</f>
        <v>16.2093858572323</v>
      </c>
      <c r="K18" s="35" t="n">
        <f aca="false">K4+K17</f>
        <v>0</v>
      </c>
      <c r="L18" s="35" t="n">
        <f aca="false">L4+L17</f>
        <v>0</v>
      </c>
      <c r="M18" s="35" t="n">
        <f aca="false">M4+M17</f>
        <v>0</v>
      </c>
      <c r="N18" s="35" t="n">
        <f aca="false">N4+N17</f>
        <v>0</v>
      </c>
      <c r="O18" s="35" t="n">
        <f aca="false">O4+O17</f>
        <v>0</v>
      </c>
      <c r="P18" s="35" t="n">
        <f aca="false">P4+P17</f>
        <v>0</v>
      </c>
      <c r="Q18" s="35" t="n">
        <f aca="false">Q4+Q17</f>
        <v>0</v>
      </c>
      <c r="R18" s="35" t="n">
        <f aca="false">R4+R17</f>
        <v>0</v>
      </c>
      <c r="S18" s="35" t="n">
        <f aca="false">S4+S17</f>
        <v>0</v>
      </c>
      <c r="T18" s="35" t="n">
        <f aca="false">T4+T17</f>
        <v>0</v>
      </c>
      <c r="U18" s="35" t="n">
        <f aca="false">U4+U17</f>
        <v>0</v>
      </c>
      <c r="V18" s="35" t="n">
        <f aca="false">V4+V17</f>
        <v>0</v>
      </c>
      <c r="W18" s="35" t="n">
        <f aca="false">W4+W17</f>
        <v>0</v>
      </c>
      <c r="X18" s="35" t="n">
        <f aca="false">X4+X17</f>
        <v>0</v>
      </c>
      <c r="Y18" s="35" t="n">
        <f aca="false">Y4+Y17</f>
        <v>0</v>
      </c>
    </row>
    <row r="19" customFormat="false" ht="15" hidden="false" customHeight="true" outlineLevel="0" collapsed="false">
      <c r="A19" s="10" t="s">
        <v>221</v>
      </c>
      <c r="C19" s="35" t="n">
        <f aca="false">C16+C17</f>
        <v>8</v>
      </c>
      <c r="D19" s="35" t="n">
        <f aca="false">D16+D17</f>
        <v>8</v>
      </c>
      <c r="E19" s="35" t="n">
        <f aca="false">E16+E17</f>
        <v>8</v>
      </c>
      <c r="F19" s="35" t="n">
        <f aca="false">F16+F17</f>
        <v>8</v>
      </c>
      <c r="G19" s="35" t="n">
        <f aca="false">G16+G17</f>
        <v>8</v>
      </c>
      <c r="H19" s="35" t="n">
        <f aca="false">H16+H17</f>
        <v>8</v>
      </c>
      <c r="I19" s="35" t="n">
        <f aca="false">I16+I17</f>
        <v>8</v>
      </c>
      <c r="J19" s="35" t="n">
        <f aca="false">J16+J17</f>
        <v>8</v>
      </c>
      <c r="K19" s="35" t="n">
        <f aca="false">K16+K17</f>
        <v>10.2762191781838</v>
      </c>
      <c r="L19" s="35" t="n">
        <f aca="false">L16+L17</f>
        <v>42.1878957781838</v>
      </c>
      <c r="M19" s="35" t="n">
        <f aca="false">M16+M17</f>
        <v>79.8797362406838</v>
      </c>
      <c r="N19" s="35" t="n">
        <f aca="false">N16+N17</f>
        <v>121.745939228184</v>
      </c>
      <c r="O19" s="35" t="n">
        <f aca="false">O16+O17</f>
        <v>175.051054665684</v>
      </c>
      <c r="P19" s="35" t="n">
        <f aca="false">P16+P17</f>
        <v>236.307259553184</v>
      </c>
      <c r="Q19" s="35" t="n">
        <f aca="false">Q16+Q17</f>
        <v>302.088017878184</v>
      </c>
      <c r="R19" s="35" t="n">
        <f aca="false">R16+R17</f>
        <v>377.929114265684</v>
      </c>
      <c r="S19" s="35" t="n">
        <f aca="false">S16+S17</f>
        <v>465.536089878184</v>
      </c>
      <c r="T19" s="35" t="n">
        <f aca="false">T16+T17</f>
        <v>555.378289878184</v>
      </c>
      <c r="U19" s="35" t="n">
        <f aca="false">U16+U17</f>
        <v>633.198489878184</v>
      </c>
      <c r="V19" s="35" t="n">
        <f aca="false">V16+V17</f>
        <v>692.238689878184</v>
      </c>
      <c r="W19" s="35" t="n">
        <f aca="false">W16+W17</f>
        <v>729.869489878184</v>
      </c>
      <c r="X19" s="35" t="n">
        <f aca="false">X16+X17</f>
        <v>743.093789878184</v>
      </c>
      <c r="Y19" s="35" t="n">
        <f aca="false">Y16+Y17</f>
        <v>743.093789878184</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Y1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4" width="26"/>
    <col collapsed="false" customWidth="true" hidden="false" outlineLevel="0" max="25" min="3" style="4" width="8"/>
  </cols>
  <sheetData>
    <row r="1" customFormat="false" ht="21.75" hidden="false" customHeight="true" outlineLevel="0" collapsed="false">
      <c r="A1" s="5" t="s">
        <v>222</v>
      </c>
      <c r="B1" s="6"/>
      <c r="C1" s="6"/>
      <c r="D1" s="6"/>
      <c r="E1" s="6"/>
      <c r="F1" s="6"/>
      <c r="G1" s="6"/>
      <c r="H1" s="6"/>
      <c r="I1" s="6"/>
      <c r="J1" s="6"/>
      <c r="K1" s="6"/>
      <c r="L1" s="6"/>
      <c r="M1" s="6"/>
      <c r="N1" s="6"/>
      <c r="O1" s="6"/>
      <c r="P1" s="6"/>
      <c r="Q1" s="6"/>
      <c r="R1" s="6"/>
      <c r="S1" s="6"/>
      <c r="T1" s="6"/>
      <c r="U1" s="6"/>
      <c r="V1" s="6"/>
      <c r="W1" s="6"/>
      <c r="X1" s="6"/>
      <c r="Y1" s="6"/>
    </row>
    <row r="2" customFormat="false" ht="15" hidden="false" customHeight="true" outlineLevel="0" collapsed="false">
      <c r="A2" s="7" t="s">
        <v>223</v>
      </c>
    </row>
    <row r="3" customFormat="false" ht="15" hidden="false" customHeight="true" outlineLevel="0" collapsed="false">
      <c r="A3" s="40" t="s">
        <v>159</v>
      </c>
      <c r="C3" s="41" t="s">
        <v>160</v>
      </c>
      <c r="D3" s="41" t="s">
        <v>161</v>
      </c>
      <c r="E3" s="41" t="s">
        <v>162</v>
      </c>
      <c r="F3" s="41" t="s">
        <v>163</v>
      </c>
      <c r="G3" s="41" t="s">
        <v>164</v>
      </c>
      <c r="H3" s="41" t="s">
        <v>165</v>
      </c>
      <c r="I3" s="41" t="s">
        <v>166</v>
      </c>
      <c r="J3" s="41" t="s">
        <v>167</v>
      </c>
      <c r="K3" s="41" t="s">
        <v>168</v>
      </c>
      <c r="L3" s="41" t="s">
        <v>169</v>
      </c>
      <c r="M3" s="41" t="s">
        <v>170</v>
      </c>
      <c r="N3" s="41" t="s">
        <v>171</v>
      </c>
      <c r="O3" s="41" t="s">
        <v>172</v>
      </c>
      <c r="P3" s="41" t="s">
        <v>173</v>
      </c>
      <c r="Q3" s="41" t="s">
        <v>174</v>
      </c>
      <c r="R3" s="41" t="s">
        <v>175</v>
      </c>
      <c r="S3" s="41" t="s">
        <v>176</v>
      </c>
      <c r="T3" s="41" t="s">
        <v>177</v>
      </c>
      <c r="U3" s="41" t="s">
        <v>178</v>
      </c>
      <c r="V3" s="41" t="s">
        <v>179</v>
      </c>
      <c r="W3" s="41" t="s">
        <v>180</v>
      </c>
      <c r="X3" s="41" t="s">
        <v>181</v>
      </c>
      <c r="Y3" s="41" t="s">
        <v>182</v>
      </c>
    </row>
    <row r="4" customFormat="false" ht="15" hidden="false" customHeight="true" outlineLevel="0" collapsed="false">
      <c r="A4" s="12" t="s">
        <v>224</v>
      </c>
      <c r="C4" s="17" t="n">
        <f aca="false">'Debt Schedule'!C6</f>
        <v>33.0702</v>
      </c>
      <c r="D4" s="17" t="n">
        <f aca="false">'Debt Schedule'!D6</f>
        <v>42.7014</v>
      </c>
      <c r="E4" s="17" t="n">
        <f aca="false">'Debt Schedule'!E6</f>
        <v>54.3828</v>
      </c>
      <c r="F4" s="17" t="n">
        <f aca="false">'Debt Schedule'!F6</f>
        <v>66.87</v>
      </c>
      <c r="G4" s="17" t="n">
        <f aca="false">'Debt Schedule'!G6</f>
        <v>80.307</v>
      </c>
      <c r="H4" s="17" t="n">
        <f aca="false">'Debt Schedule'!H6</f>
        <v>88.7519</v>
      </c>
      <c r="I4" s="17" t="n">
        <f aca="false">'Debt Schedule'!I6</f>
        <v>102.5047</v>
      </c>
      <c r="J4" s="17" t="n">
        <f aca="false">'Debt Schedule'!J6</f>
        <v>89.2108</v>
      </c>
      <c r="K4" s="17" t="n">
        <f aca="false">'Debt Schedule'!K6</f>
        <v>103.8864</v>
      </c>
      <c r="L4" s="17" t="n">
        <f aca="false">'Debt Schedule'!L6</f>
        <v>107.8873</v>
      </c>
      <c r="M4" s="17" t="n">
        <f aca="false">'Debt Schedule'!M6</f>
        <v>111.1871</v>
      </c>
      <c r="N4" s="17" t="n">
        <f aca="false">'Debt Schedule'!N6</f>
        <v>115.07</v>
      </c>
      <c r="O4" s="17" t="n">
        <f aca="false">'Debt Schedule'!O6</f>
        <v>110.8806</v>
      </c>
      <c r="P4" s="17" t="n">
        <f aca="false">'Debt Schedule'!P6</f>
        <v>108.4372</v>
      </c>
      <c r="Q4" s="17" t="n">
        <f aca="false">'Debt Schedule'!Q6</f>
        <v>101.8008</v>
      </c>
      <c r="R4" s="17" t="n">
        <f aca="false">'Debt Schedule'!R6</f>
        <v>99.1376</v>
      </c>
      <c r="S4" s="17" t="n">
        <f aca="false">'Debt Schedule'!S6</f>
        <v>96.3988</v>
      </c>
      <c r="T4" s="17" t="n">
        <f aca="false">'Debt Schedule'!T6</f>
        <v>89.8422</v>
      </c>
      <c r="U4" s="17" t="n">
        <f aca="false">'Debt Schedule'!U6</f>
        <v>77.8202</v>
      </c>
      <c r="V4" s="17" t="n">
        <f aca="false">'Debt Schedule'!V6</f>
        <v>59.0402</v>
      </c>
      <c r="W4" s="17" t="n">
        <f aca="false">'Debt Schedule'!W6</f>
        <v>37.6308</v>
      </c>
      <c r="X4" s="17" t="n">
        <f aca="false">'Debt Schedule'!X6</f>
        <v>13.2243</v>
      </c>
      <c r="Y4" s="17" t="n">
        <f aca="false">'Debt Schedule'!Y6</f>
        <v>0</v>
      </c>
    </row>
    <row r="5" customFormat="false" ht="15" hidden="false" customHeight="true" outlineLevel="0" collapsed="false">
      <c r="A5" s="12" t="s">
        <v>225</v>
      </c>
      <c r="C5" s="17" t="n">
        <f aca="false">'Debt Schedule'!C7</f>
        <v>-20.0152</v>
      </c>
      <c r="D5" s="17" t="n">
        <f aca="false">'Debt Schedule'!D7</f>
        <v>-26.002</v>
      </c>
      <c r="E5" s="17" t="n">
        <f aca="false">'Debt Schedule'!E7</f>
        <v>-33.7507</v>
      </c>
      <c r="F5" s="17" t="n">
        <f aca="false">'Debt Schedule'!F7</f>
        <v>-42.5845</v>
      </c>
      <c r="G5" s="17" t="n">
        <f aca="false">'Debt Schedule'!G7</f>
        <v>-51.1078</v>
      </c>
      <c r="H5" s="17" t="n">
        <f aca="false">'Debt Schedule'!H7</f>
        <v>-54.6817</v>
      </c>
      <c r="I5" s="17" t="n">
        <f aca="false">'Debt Schedule'!I7</f>
        <v>-59.8329</v>
      </c>
      <c r="J5" s="17" t="n">
        <f aca="false">'Debt Schedule'!J7</f>
        <v>-48.4117</v>
      </c>
      <c r="K5" s="17" t="n">
        <f aca="false">'Debt Schedule'!K7</f>
        <v>-52.7433</v>
      </c>
      <c r="L5" s="17" t="n">
        <f aca="false">'Debt Schedule'!L7</f>
        <v>-51.5656</v>
      </c>
      <c r="M5" s="17" t="n">
        <f aca="false">'Debt Schedule'!M7</f>
        <v>-51.2048</v>
      </c>
      <c r="N5" s="17" t="n">
        <f aca="false">'Debt Schedule'!N7</f>
        <v>-51.0061</v>
      </c>
      <c r="O5" s="17" t="n">
        <f aca="false">'Debt Schedule'!O7</f>
        <v>-42.9132</v>
      </c>
      <c r="P5" s="17" t="n">
        <f aca="false">'Debt Schedule'!P7</f>
        <v>-35.201</v>
      </c>
      <c r="Q5" s="17" t="n">
        <f aca="false">'Debt Schedule'!Q7</f>
        <v>-26.9314</v>
      </c>
      <c r="R5" s="17" t="n">
        <f aca="false">'Debt Schedule'!R7</f>
        <v>-17.504</v>
      </c>
      <c r="S5" s="17" t="n">
        <f aca="false">'Debt Schedule'!S7</f>
        <v>-6.7569</v>
      </c>
      <c r="T5" s="17" t="n">
        <f aca="false">'Debt Schedule'!T7</f>
        <v>-0</v>
      </c>
      <c r="U5" s="17" t="n">
        <f aca="false">'Debt Schedule'!U7</f>
        <v>-0</v>
      </c>
      <c r="V5" s="17" t="n">
        <f aca="false">'Debt Schedule'!V7</f>
        <v>-0</v>
      </c>
      <c r="W5" s="17" t="n">
        <f aca="false">'Debt Schedule'!W7</f>
        <v>-0</v>
      </c>
      <c r="X5" s="17" t="n">
        <f aca="false">'Debt Schedule'!X7</f>
        <v>-0</v>
      </c>
      <c r="Y5" s="17" t="n">
        <f aca="false">'Debt Schedule'!Y7</f>
        <v>-0</v>
      </c>
    </row>
    <row r="6" customFormat="false" ht="15" hidden="false" customHeight="true" outlineLevel="0" collapsed="false">
      <c r="A6" s="12" t="s">
        <v>226</v>
      </c>
      <c r="C6" s="17" t="n">
        <f aca="false">'Debt Schedule'!C8</f>
        <v>-0</v>
      </c>
      <c r="D6" s="17" t="n">
        <f aca="false">'Debt Schedule'!D8</f>
        <v>-0</v>
      </c>
      <c r="E6" s="17" t="n">
        <f aca="false">'Debt Schedule'!E8</f>
        <v>-0</v>
      </c>
      <c r="F6" s="17" t="n">
        <f aca="false">'Debt Schedule'!F8</f>
        <v>-0</v>
      </c>
      <c r="G6" s="17" t="n">
        <f aca="false">'Debt Schedule'!G8</f>
        <v>-0</v>
      </c>
      <c r="H6" s="17" t="n">
        <f aca="false">'Debt Schedule'!H8</f>
        <v>-0</v>
      </c>
      <c r="I6" s="17" t="n">
        <f aca="false">'Debt Schedule'!I8</f>
        <v>-0</v>
      </c>
      <c r="J6" s="17" t="n">
        <f aca="false">'Debt Schedule'!J8</f>
        <v>-0</v>
      </c>
      <c r="K6" s="17" t="n">
        <f aca="false">'Debt Schedule'!K8</f>
        <v>-0</v>
      </c>
      <c r="L6" s="17" t="n">
        <f aca="false">'Debt Schedule'!L8</f>
        <v>-0</v>
      </c>
      <c r="M6" s="17" t="n">
        <f aca="false">'Debt Schedule'!M8</f>
        <v>-0</v>
      </c>
      <c r="N6" s="17" t="n">
        <f aca="false">'Debt Schedule'!N8</f>
        <v>-0</v>
      </c>
      <c r="O6" s="17" t="n">
        <f aca="false">'Debt Schedule'!O8</f>
        <v>-0</v>
      </c>
      <c r="P6" s="17" t="n">
        <f aca="false">'Debt Schedule'!P8</f>
        <v>-0</v>
      </c>
      <c r="Q6" s="17" t="n">
        <f aca="false">'Debt Schedule'!Q8</f>
        <v>-0</v>
      </c>
      <c r="R6" s="17" t="n">
        <f aca="false">'Debt Schedule'!R8</f>
        <v>-0</v>
      </c>
      <c r="S6" s="17" t="n">
        <f aca="false">'Debt Schedule'!S8</f>
        <v>-0</v>
      </c>
      <c r="T6" s="17" t="n">
        <f aca="false">'Debt Schedule'!T8</f>
        <v>-0</v>
      </c>
      <c r="U6" s="17" t="n">
        <f aca="false">'Debt Schedule'!U8</f>
        <v>-0</v>
      </c>
      <c r="V6" s="17" t="n">
        <f aca="false">'Debt Schedule'!V8</f>
        <v>-0</v>
      </c>
      <c r="W6" s="17" t="n">
        <f aca="false">'Debt Schedule'!W8</f>
        <v>-0</v>
      </c>
      <c r="X6" s="17" t="n">
        <f aca="false">'Debt Schedule'!X8</f>
        <v>-0</v>
      </c>
      <c r="Y6" s="17" t="n">
        <f aca="false">'Debt Schedule'!Y8</f>
        <v>-0</v>
      </c>
    </row>
    <row r="7" customFormat="false" ht="15" hidden="false" customHeight="true" outlineLevel="0" collapsed="false">
      <c r="A7" s="12" t="s">
        <v>190</v>
      </c>
      <c r="C7" s="17" t="n">
        <f aca="false">'Debt Schedule'!C9</f>
        <v>-4.4206</v>
      </c>
      <c r="D7" s="17" t="n">
        <f aca="false">'Debt Schedule'!D9</f>
        <v>-6.8826</v>
      </c>
      <c r="E7" s="17" t="n">
        <f aca="false">'Debt Schedule'!E9</f>
        <v>-9.1081</v>
      </c>
      <c r="F7" s="17" t="n">
        <f aca="false">'Debt Schedule'!F9</f>
        <v>-10.3832</v>
      </c>
      <c r="G7" s="17" t="n">
        <f aca="false">'Debt Schedule'!G9</f>
        <v>-11.3582</v>
      </c>
      <c r="H7" s="17" t="n">
        <f aca="false">'Debt Schedule'!H9</f>
        <v>-8.6907</v>
      </c>
      <c r="I7" s="17" t="n">
        <f aca="false">'Debt Schedule'!I9</f>
        <v>-12.2225</v>
      </c>
      <c r="J7" s="17" t="n">
        <f aca="false">'Debt Schedule'!J9</f>
        <v>-11.9768</v>
      </c>
      <c r="K7" s="17" t="n">
        <f aca="false">'Debt Schedule'!K9</f>
        <v>-13.1194</v>
      </c>
      <c r="L7" s="17" t="n">
        <f aca="false">'Debt Schedule'!L9</f>
        <v>-7.1699</v>
      </c>
      <c r="M7" s="17" t="n">
        <f aca="false">'Debt Schedule'!M9</f>
        <v>-5.2672</v>
      </c>
      <c r="N7" s="17" t="n">
        <f aca="false">'Debt Schedule'!N9</f>
        <v>-6.0046</v>
      </c>
      <c r="O7" s="17" t="n">
        <f aca="false">'Debt Schedule'!O9</f>
        <v>-0</v>
      </c>
      <c r="P7" s="17" t="n">
        <f aca="false">'Debt Schedule'!P9</f>
        <v>-0</v>
      </c>
      <c r="Q7" s="17" t="n">
        <f aca="false">'Debt Schedule'!Q9</f>
        <v>-0</v>
      </c>
      <c r="R7" s="17" t="n">
        <f aca="false">'Debt Schedule'!R9</f>
        <v>-0</v>
      </c>
      <c r="S7" s="17" t="n">
        <f aca="false">'Debt Schedule'!S9</f>
        <v>-0</v>
      </c>
      <c r="T7" s="17" t="n">
        <f aca="false">'Debt Schedule'!T9</f>
        <v>-0</v>
      </c>
      <c r="U7" s="17" t="n">
        <f aca="false">'Debt Schedule'!U9</f>
        <v>-0</v>
      </c>
      <c r="V7" s="17" t="n">
        <f aca="false">'Debt Schedule'!V9</f>
        <v>-0</v>
      </c>
      <c r="W7" s="17" t="n">
        <f aca="false">'Debt Schedule'!W9</f>
        <v>-0</v>
      </c>
      <c r="X7" s="17" t="n">
        <f aca="false">'Debt Schedule'!X9</f>
        <v>-0</v>
      </c>
      <c r="Y7" s="17" t="n">
        <f aca="false">'Debt Schedule'!Y9</f>
        <v>-0</v>
      </c>
    </row>
    <row r="8" customFormat="false" ht="15" hidden="false" customHeight="true" outlineLevel="0" collapsed="false">
      <c r="A8" s="12" t="s">
        <v>197</v>
      </c>
      <c r="C8" s="17" t="n">
        <f aca="false">'Debt Schedule'!C10</f>
        <v>-2.502105</v>
      </c>
      <c r="D8" s="17" t="n">
        <f aca="false">'Debt Schedule'!D10</f>
        <v>-3.404905</v>
      </c>
      <c r="E8" s="17" t="n">
        <f aca="false">'Debt Schedule'!E10</f>
        <v>-4.569195</v>
      </c>
      <c r="F8" s="17" t="n">
        <f aca="false">'Debt Schedule'!F10</f>
        <v>-5.8965</v>
      </c>
      <c r="G8" s="17" t="n">
        <f aca="false">'Debt Schedule'!G10</f>
        <v>-7.22068</v>
      </c>
      <c r="H8" s="17" t="n">
        <f aca="false">'Debt Schedule'!H10</f>
        <v>-7.701475</v>
      </c>
      <c r="I8" s="17" t="n">
        <f aca="false">'Debt Schedule'!I10</f>
        <v>-8.36397</v>
      </c>
      <c r="J8" s="17" t="n">
        <f aca="false">'Debt Schedule'!J10</f>
        <v>-7.03679</v>
      </c>
      <c r="K8" s="17" t="n">
        <f aca="false">'Debt Schedule'!K10</f>
        <v>-7.591555</v>
      </c>
      <c r="L8" s="17" t="n">
        <f aca="false">'Debt Schedule'!L10</f>
        <v>-7.27896</v>
      </c>
      <c r="M8" s="17" t="n">
        <f aca="false">'Debt Schedule'!M10</f>
        <v>-7.144715</v>
      </c>
      <c r="N8" s="17" t="n">
        <f aca="false">'Debt Schedule'!N10</f>
        <v>-7.018105</v>
      </c>
      <c r="O8" s="17" t="n">
        <f aca="false">'Debt Schedule'!O10</f>
        <v>-5.906325</v>
      </c>
      <c r="P8" s="17" t="n">
        <f aca="false">'Debt Schedule'!P10</f>
        <v>-4.842745</v>
      </c>
      <c r="Q8" s="17" t="n">
        <f aca="false">'Debt Schedule'!Q10</f>
        <v>-3.69387</v>
      </c>
      <c r="R8" s="17" t="n">
        <f aca="false">'Debt Schedule'!R10</f>
        <v>-2.384145</v>
      </c>
      <c r="S8" s="17" t="n">
        <f aca="false">'Debt Schedule'!S10</f>
        <v>-0.891055</v>
      </c>
      <c r="T8" s="17" t="n">
        <f aca="false">'Debt Schedule'!T10</f>
        <v>-0</v>
      </c>
      <c r="U8" s="17" t="n">
        <f aca="false">'Debt Schedule'!U10</f>
        <v>-0</v>
      </c>
      <c r="V8" s="17" t="n">
        <f aca="false">'Debt Schedule'!V10</f>
        <v>-0</v>
      </c>
      <c r="W8" s="17" t="n">
        <f aca="false">'Debt Schedule'!W10</f>
        <v>-0</v>
      </c>
      <c r="X8" s="17" t="n">
        <f aca="false">'Debt Schedule'!X10</f>
        <v>-0</v>
      </c>
      <c r="Y8" s="17" t="n">
        <f aca="false">'Debt Schedule'!Y10</f>
        <v>-0</v>
      </c>
    </row>
    <row r="9" customFormat="false" ht="15" hidden="false" customHeight="true" outlineLevel="0" collapsed="false">
      <c r="A9" s="12" t="s">
        <v>214</v>
      </c>
      <c r="C9" s="17" t="n">
        <f aca="false">'Debt Schedule'!C12</f>
        <v>-1.8503290125</v>
      </c>
      <c r="D9" s="17" t="n">
        <f aca="false">'Debt Schedule'!D12</f>
        <v>-3.27652210974375</v>
      </c>
      <c r="E9" s="17" t="n">
        <f aca="false">'Debt Schedule'!E12</f>
        <v>-4.764296069053</v>
      </c>
      <c r="F9" s="17" t="n">
        <f aca="false">'Debt Schedule'!F12</f>
        <v>-6.69974923318589</v>
      </c>
      <c r="G9" s="17" t="n">
        <f aca="false">'Debt Schedule'!G12</f>
        <v>-8.61537100121534</v>
      </c>
      <c r="H9" s="17" t="n">
        <f aca="false">'Debt Schedule'!H12</f>
        <v>-9.77137589338487</v>
      </c>
      <c r="I9" s="17" t="n">
        <f aca="false">'Debt Schedule'!I12</f>
        <v>-9.80069261801206</v>
      </c>
      <c r="J9" s="17" t="n">
        <f aca="false">'Debt Schedule'!J12</f>
        <v>-7.67674558822474</v>
      </c>
      <c r="K9" s="17" t="n">
        <f aca="false">'Debt Schedule'!K12</f>
        <v>-8.26969501028209</v>
      </c>
      <c r="L9" s="17" t="n">
        <f aca="false">'Debt Schedule'!L12</f>
        <v>-9.2332674</v>
      </c>
      <c r="M9" s="17" t="n">
        <f aca="false">'Debt Schedule'!M12</f>
        <v>-9.1640730375</v>
      </c>
      <c r="N9" s="17" t="n">
        <f aca="false">'Debt Schedule'!N12</f>
        <v>-8.4731815125</v>
      </c>
      <c r="O9" s="17" t="n">
        <f aca="false">'Debt Schedule'!O12</f>
        <v>-8.1653270625</v>
      </c>
      <c r="P9" s="17" t="n">
        <f aca="false">'Debt Schedule'!P12</f>
        <v>-6.6529756125</v>
      </c>
      <c r="Q9" s="17" t="n">
        <f aca="false">'Debt Schedule'!Q12</f>
        <v>-5.025384675</v>
      </c>
      <c r="R9" s="17" t="n">
        <f aca="false">'Debt Schedule'!R12</f>
        <v>-3.1699441125</v>
      </c>
      <c r="S9" s="17" t="n">
        <f aca="false">'Debt Schedule'!S12</f>
        <v>-1.0547638875</v>
      </c>
      <c r="T9" s="17" t="n">
        <f aca="false">'Debt Schedule'!T12</f>
        <v>-0</v>
      </c>
      <c r="U9" s="17" t="n">
        <f aca="false">'Debt Schedule'!U12</f>
        <v>-0</v>
      </c>
      <c r="V9" s="17" t="n">
        <f aca="false">'Debt Schedule'!V12</f>
        <v>-0</v>
      </c>
      <c r="W9" s="17" t="n">
        <f aca="false">'Debt Schedule'!W12</f>
        <v>-0</v>
      </c>
      <c r="X9" s="17" t="n">
        <f aca="false">'Debt Schedule'!X12</f>
        <v>-0</v>
      </c>
      <c r="Y9" s="17" t="n">
        <f aca="false">'Debt Schedule'!Y12</f>
        <v>-0</v>
      </c>
    </row>
    <row r="10" customFormat="false" ht="15" hidden="false" customHeight="true" outlineLevel="0" collapsed="false">
      <c r="A10" s="12" t="s">
        <v>215</v>
      </c>
      <c r="C10" s="17" t="n">
        <f aca="false">'Debt Schedule'!C13</f>
        <v>-5.4</v>
      </c>
      <c r="D10" s="17" t="n">
        <f aca="false">'Debt Schedule'!D13</f>
        <v>-3.84628401225</v>
      </c>
      <c r="E10" s="17" t="n">
        <f aca="false">'Debt Schedule'!E13</f>
        <v>-4.03553630420887</v>
      </c>
      <c r="F10" s="17" t="n">
        <f aca="false">'Debt Schedule'!F13</f>
        <v>-4.44988674139601</v>
      </c>
      <c r="G10" s="17" t="n">
        <f aca="false">'Debt Schedule'!G13</f>
        <v>-5.12191421682075</v>
      </c>
      <c r="H10" s="17" t="n">
        <f aca="false">'Debt Schedule'!H13</f>
        <v>-5.81294019606725</v>
      </c>
      <c r="I10" s="17" t="n">
        <f aca="false">'Debt Schedule'!I13</f>
        <v>-5.57469914216863</v>
      </c>
      <c r="J10" s="17" t="n">
        <f aca="false">'Debt Schedule'!J13</f>
        <v>-4.51746171900115</v>
      </c>
      <c r="K10" s="17" t="n">
        <f aca="false">'Debt Schedule'!K13</f>
        <v>-2.91768945430181</v>
      </c>
      <c r="L10" s="17" t="n">
        <f aca="false">'Debt Schedule'!L13</f>
        <v>-0</v>
      </c>
      <c r="M10" s="17" t="n">
        <f aca="false">'Debt Schedule'!M13</f>
        <v>-0</v>
      </c>
      <c r="N10" s="17" t="n">
        <f aca="false">'Debt Schedule'!N13</f>
        <v>-0</v>
      </c>
      <c r="O10" s="17" t="n">
        <f aca="false">'Debt Schedule'!O13</f>
        <v>-0</v>
      </c>
      <c r="P10" s="17" t="n">
        <f aca="false">'Debt Schedule'!P13</f>
        <v>-0</v>
      </c>
      <c r="Q10" s="17" t="n">
        <f aca="false">'Debt Schedule'!Q13</f>
        <v>-0</v>
      </c>
      <c r="R10" s="17" t="n">
        <f aca="false">'Debt Schedule'!R13</f>
        <v>-0</v>
      </c>
      <c r="S10" s="17" t="n">
        <f aca="false">'Debt Schedule'!S13</f>
        <v>-0</v>
      </c>
      <c r="T10" s="17" t="n">
        <f aca="false">'Debt Schedule'!T13</f>
        <v>-0</v>
      </c>
      <c r="U10" s="17" t="n">
        <f aca="false">'Debt Schedule'!U13</f>
        <v>-0</v>
      </c>
      <c r="V10" s="17" t="n">
        <f aca="false">'Debt Schedule'!V13</f>
        <v>-0</v>
      </c>
      <c r="W10" s="17" t="n">
        <f aca="false">'Debt Schedule'!W13</f>
        <v>-0</v>
      </c>
      <c r="X10" s="17" t="n">
        <f aca="false">'Debt Schedule'!X13</f>
        <v>-0</v>
      </c>
      <c r="Y10" s="17" t="n">
        <f aca="false">'Debt Schedule'!Y13</f>
        <v>-0</v>
      </c>
    </row>
    <row r="11" customFormat="false" ht="15" hidden="false" customHeight="true" outlineLevel="0" collapsed="false">
      <c r="A11" s="10" t="s">
        <v>227</v>
      </c>
      <c r="C11" s="35" t="n">
        <f aca="false">SUM(C4:C10)</f>
        <v>-1.1180340125</v>
      </c>
      <c r="D11" s="35" t="n">
        <f aca="false">SUM(D4:D10)</f>
        <v>-0.710911121993739</v>
      </c>
      <c r="E11" s="35" t="n">
        <f aca="false">SUM(E4:E10)</f>
        <v>-1.84502737326187</v>
      </c>
      <c r="F11" s="35" t="n">
        <f aca="false">SUM(F4:F10)</f>
        <v>-3.1438359745819</v>
      </c>
      <c r="G11" s="35" t="n">
        <f aca="false">SUM(G4:G10)</f>
        <v>-3.11696521803609</v>
      </c>
      <c r="H11" s="35" t="n">
        <f aca="false">SUM(H4:H10)</f>
        <v>2.09370891054788</v>
      </c>
      <c r="I11" s="35" t="n">
        <f aca="false">SUM(I4:I10)</f>
        <v>6.70993823981932</v>
      </c>
      <c r="J11" s="35" t="n">
        <f aca="false">SUM(J4:J10)</f>
        <v>9.59130269277411</v>
      </c>
      <c r="K11" s="35" t="n">
        <f aca="false">SUM(K4:K10)</f>
        <v>19.2447605354161</v>
      </c>
      <c r="L11" s="35" t="n">
        <f aca="false">SUM(L4:L10)</f>
        <v>32.6395726</v>
      </c>
      <c r="M11" s="35" t="n">
        <f aca="false">SUM(M4:M10)</f>
        <v>38.4063119625</v>
      </c>
      <c r="N11" s="35" t="n">
        <f aca="false">SUM(N4:N10)</f>
        <v>42.5680134875</v>
      </c>
      <c r="O11" s="35" t="n">
        <f aca="false">SUM(O4:O10)</f>
        <v>53.8957479375</v>
      </c>
      <c r="P11" s="35" t="n">
        <f aca="false">SUM(P4:P10)</f>
        <v>61.7404793875</v>
      </c>
      <c r="Q11" s="35" t="n">
        <f aca="false">SUM(Q4:Q10)</f>
        <v>66.150145325</v>
      </c>
      <c r="R11" s="35" t="n">
        <f aca="false">SUM(R4:R10)</f>
        <v>76.0795108875</v>
      </c>
      <c r="S11" s="35" t="n">
        <f aca="false">SUM(S4:S10)</f>
        <v>87.6960811125</v>
      </c>
      <c r="T11" s="35" t="n">
        <f aca="false">SUM(T4:T10)</f>
        <v>89.8422</v>
      </c>
      <c r="U11" s="35" t="n">
        <f aca="false">SUM(U4:U10)</f>
        <v>77.8202</v>
      </c>
      <c r="V11" s="35" t="n">
        <f aca="false">SUM(V4:V10)</f>
        <v>59.0402</v>
      </c>
      <c r="W11" s="35" t="n">
        <f aca="false">SUM(W4:W10)</f>
        <v>37.6308</v>
      </c>
      <c r="X11" s="35" t="n">
        <f aca="false">SUM(X4:X10)</f>
        <v>13.2243</v>
      </c>
      <c r="Y11" s="35" t="n">
        <f aca="false">SUM(Y4:Y10)</f>
        <v>0</v>
      </c>
    </row>
    <row r="12" customFormat="false" ht="15" hidden="false" customHeight="true" outlineLevel="0" collapsed="false">
      <c r="A12" s="12" t="s">
        <v>213</v>
      </c>
      <c r="C12" s="17" t="n">
        <f aca="false">'Debt Schedule'!C11</f>
        <v>-0.2502105</v>
      </c>
      <c r="D12" s="17" t="n">
        <f aca="false">'Debt Schedule'!D11</f>
        <v>-0.3404905</v>
      </c>
      <c r="E12" s="17" t="n">
        <f aca="false">'Debt Schedule'!E11</f>
        <v>-0.4569195</v>
      </c>
      <c r="F12" s="17" t="n">
        <f aca="false">'Debt Schedule'!F11</f>
        <v>-0.58965</v>
      </c>
      <c r="G12" s="17" t="n">
        <f aca="false">'Debt Schedule'!G11</f>
        <v>-0.722068</v>
      </c>
      <c r="H12" s="17" t="n">
        <f aca="false">'Debt Schedule'!H11</f>
        <v>-0.7701475</v>
      </c>
      <c r="I12" s="17" t="n">
        <f aca="false">'Debt Schedule'!I11</f>
        <v>-0.836397</v>
      </c>
      <c r="J12" s="17" t="n">
        <f aca="false">'Debt Schedule'!J11</f>
        <v>-0.703679</v>
      </c>
      <c r="K12" s="17" t="n">
        <f aca="false">'Debt Schedule'!K11</f>
        <v>-0.7591555</v>
      </c>
      <c r="L12" s="17" t="n">
        <f aca="false">'Debt Schedule'!L11</f>
        <v>-0.727896</v>
      </c>
      <c r="M12" s="17" t="n">
        <f aca="false">'Debt Schedule'!M11</f>
        <v>-0.7144715</v>
      </c>
      <c r="N12" s="17" t="n">
        <f aca="false">'Debt Schedule'!N11</f>
        <v>-0.7018105</v>
      </c>
      <c r="O12" s="17" t="n">
        <f aca="false">'Debt Schedule'!O11</f>
        <v>-0.5906325</v>
      </c>
      <c r="P12" s="17" t="n">
        <f aca="false">'Debt Schedule'!P11</f>
        <v>-0.4842745</v>
      </c>
      <c r="Q12" s="17" t="n">
        <f aca="false">'Debt Schedule'!Q11</f>
        <v>-0.369387</v>
      </c>
      <c r="R12" s="17" t="n">
        <f aca="false">'Debt Schedule'!R11</f>
        <v>-0.2384145</v>
      </c>
      <c r="S12" s="17" t="n">
        <f aca="false">'Debt Schedule'!S11</f>
        <v>-0.0891055</v>
      </c>
      <c r="T12" s="17" t="n">
        <f aca="false">'Debt Schedule'!T11</f>
        <v>-0</v>
      </c>
      <c r="U12" s="17" t="n">
        <f aca="false">'Debt Schedule'!U11</f>
        <v>-0</v>
      </c>
      <c r="V12" s="17" t="n">
        <f aca="false">'Debt Schedule'!V11</f>
        <v>-0</v>
      </c>
      <c r="W12" s="17" t="n">
        <f aca="false">'Debt Schedule'!W11</f>
        <v>-0</v>
      </c>
      <c r="X12" s="17" t="n">
        <f aca="false">'Debt Schedule'!X11</f>
        <v>-0</v>
      </c>
      <c r="Y12" s="17" t="n">
        <f aca="false">'Debt Schedule'!Y11</f>
        <v>-0</v>
      </c>
    </row>
    <row r="13" customFormat="false" ht="15" hidden="false" customHeight="true" outlineLevel="0" collapsed="false">
      <c r="A13" s="10" t="s">
        <v>228</v>
      </c>
      <c r="C13" s="35" t="n">
        <f aca="false">C12</f>
        <v>-0.2502105</v>
      </c>
      <c r="D13" s="35" t="n">
        <f aca="false">D12</f>
        <v>-0.3404905</v>
      </c>
      <c r="E13" s="35" t="n">
        <f aca="false">E12</f>
        <v>-0.4569195</v>
      </c>
      <c r="F13" s="35" t="n">
        <f aca="false">F12</f>
        <v>-0.58965</v>
      </c>
      <c r="G13" s="35" t="n">
        <f aca="false">G12</f>
        <v>-0.722068</v>
      </c>
      <c r="H13" s="35" t="n">
        <f aca="false">H12</f>
        <v>-0.7701475</v>
      </c>
      <c r="I13" s="35" t="n">
        <f aca="false">I12</f>
        <v>-0.836397</v>
      </c>
      <c r="J13" s="35" t="n">
        <f aca="false">J12</f>
        <v>-0.703679</v>
      </c>
      <c r="K13" s="35" t="n">
        <f aca="false">K12</f>
        <v>-0.7591555</v>
      </c>
      <c r="L13" s="35" t="n">
        <f aca="false">L12</f>
        <v>-0.727896</v>
      </c>
      <c r="M13" s="35" t="n">
        <f aca="false">M12</f>
        <v>-0.7144715</v>
      </c>
      <c r="N13" s="35" t="n">
        <f aca="false">N12</f>
        <v>-0.7018105</v>
      </c>
      <c r="O13" s="35" t="n">
        <f aca="false">O12</f>
        <v>-0.5906325</v>
      </c>
      <c r="P13" s="35" t="n">
        <f aca="false">P12</f>
        <v>-0.4842745</v>
      </c>
      <c r="Q13" s="35" t="n">
        <f aca="false">Q12</f>
        <v>-0.369387</v>
      </c>
      <c r="R13" s="35" t="n">
        <f aca="false">R12</f>
        <v>-0.2384145</v>
      </c>
      <c r="S13" s="35" t="n">
        <f aca="false">S12</f>
        <v>-0.0891055</v>
      </c>
      <c r="T13" s="35" t="n">
        <f aca="false">T12</f>
        <v>-0</v>
      </c>
      <c r="U13" s="35" t="n">
        <f aca="false">U12</f>
        <v>-0</v>
      </c>
      <c r="V13" s="35" t="n">
        <f aca="false">V12</f>
        <v>-0</v>
      </c>
      <c r="W13" s="35" t="n">
        <f aca="false">W12</f>
        <v>-0</v>
      </c>
      <c r="X13" s="35" t="n">
        <f aca="false">X12</f>
        <v>-0</v>
      </c>
      <c r="Y13" s="35" t="n">
        <f aca="false">Y12</f>
        <v>-0</v>
      </c>
    </row>
    <row r="14" customFormat="false" ht="15" hidden="false" customHeight="true" outlineLevel="0" collapsed="false">
      <c r="A14" s="12" t="s">
        <v>229</v>
      </c>
      <c r="C14" s="17" t="n">
        <f aca="false">'Debt Schedule'!C17</f>
        <v>-8.6317554875</v>
      </c>
      <c r="D14" s="17" t="n">
        <f aca="false">'Debt Schedule'!D17</f>
        <v>1.05140162199374</v>
      </c>
      <c r="E14" s="17" t="n">
        <f aca="false">'Debt Schedule'!E17</f>
        <v>2.30194687326187</v>
      </c>
      <c r="F14" s="17" t="n">
        <f aca="false">'Debt Schedule'!F17</f>
        <v>3.7334859745819</v>
      </c>
      <c r="G14" s="17" t="n">
        <f aca="false">'Debt Schedule'!G17</f>
        <v>3.83903321803609</v>
      </c>
      <c r="H14" s="17" t="n">
        <f aca="false">'Debt Schedule'!H17</f>
        <v>-1.32356141054788</v>
      </c>
      <c r="I14" s="17" t="n">
        <f aca="false">'Debt Schedule'!I17</f>
        <v>-5.87354123981931</v>
      </c>
      <c r="J14" s="17" t="n">
        <f aca="false">'Debt Schedule'!J17</f>
        <v>-8.88762369277411</v>
      </c>
      <c r="K14" s="17" t="n">
        <f aca="false">'Debt Schedule'!K17</f>
        <v>-16.2093858572323</v>
      </c>
      <c r="L14" s="17" t="n">
        <f aca="false">'Debt Schedule'!L17</f>
        <v>-0</v>
      </c>
      <c r="M14" s="17" t="n">
        <f aca="false">'Debt Schedule'!M17</f>
        <v>-0</v>
      </c>
      <c r="N14" s="17" t="n">
        <f aca="false">'Debt Schedule'!N17</f>
        <v>-0</v>
      </c>
      <c r="O14" s="17" t="n">
        <f aca="false">'Debt Schedule'!O17</f>
        <v>-0</v>
      </c>
      <c r="P14" s="17" t="n">
        <f aca="false">'Debt Schedule'!P17</f>
        <v>-0</v>
      </c>
      <c r="Q14" s="17" t="n">
        <f aca="false">'Debt Schedule'!Q17</f>
        <v>-0</v>
      </c>
      <c r="R14" s="17" t="n">
        <f aca="false">'Debt Schedule'!R17</f>
        <v>-0</v>
      </c>
      <c r="S14" s="17" t="n">
        <f aca="false">'Debt Schedule'!S17</f>
        <v>-0</v>
      </c>
      <c r="T14" s="17" t="n">
        <f aca="false">'Debt Schedule'!T17</f>
        <v>-0</v>
      </c>
      <c r="U14" s="17" t="n">
        <f aca="false">'Debt Schedule'!U17</f>
        <v>-0</v>
      </c>
      <c r="V14" s="17" t="n">
        <f aca="false">'Debt Schedule'!V17</f>
        <v>-0</v>
      </c>
      <c r="W14" s="17" t="n">
        <f aca="false">'Debt Schedule'!W17</f>
        <v>-0</v>
      </c>
      <c r="X14" s="17" t="n">
        <f aca="false">'Debt Schedule'!X17</f>
        <v>-0</v>
      </c>
      <c r="Y14" s="17" t="n">
        <f aca="false">'Debt Schedule'!Y17</f>
        <v>-0</v>
      </c>
    </row>
    <row r="15" customFormat="false" ht="15" hidden="false" customHeight="true" outlineLevel="0" collapsed="false">
      <c r="A15" s="10" t="s">
        <v>230</v>
      </c>
      <c r="C15" s="35" t="n">
        <f aca="false">C14</f>
        <v>-8.6317554875</v>
      </c>
      <c r="D15" s="35" t="n">
        <f aca="false">D14</f>
        <v>1.05140162199374</v>
      </c>
      <c r="E15" s="35" t="n">
        <f aca="false">E14</f>
        <v>2.30194687326187</v>
      </c>
      <c r="F15" s="35" t="n">
        <f aca="false">F14</f>
        <v>3.7334859745819</v>
      </c>
      <c r="G15" s="35" t="n">
        <f aca="false">G14</f>
        <v>3.83903321803609</v>
      </c>
      <c r="H15" s="35" t="n">
        <f aca="false">H14</f>
        <v>-1.32356141054788</v>
      </c>
      <c r="I15" s="35" t="n">
        <f aca="false">I14</f>
        <v>-5.87354123981931</v>
      </c>
      <c r="J15" s="35" t="n">
        <f aca="false">J14</f>
        <v>-8.88762369277411</v>
      </c>
      <c r="K15" s="35" t="n">
        <f aca="false">K14</f>
        <v>-16.2093858572323</v>
      </c>
      <c r="L15" s="35" t="n">
        <f aca="false">L14</f>
        <v>-0</v>
      </c>
      <c r="M15" s="35" t="n">
        <f aca="false">M14</f>
        <v>-0</v>
      </c>
      <c r="N15" s="35" t="n">
        <f aca="false">N14</f>
        <v>-0</v>
      </c>
      <c r="O15" s="35" t="n">
        <f aca="false">O14</f>
        <v>-0</v>
      </c>
      <c r="P15" s="35" t="n">
        <f aca="false">P14</f>
        <v>-0</v>
      </c>
      <c r="Q15" s="35" t="n">
        <f aca="false">Q14</f>
        <v>-0</v>
      </c>
      <c r="R15" s="35" t="n">
        <f aca="false">R14</f>
        <v>-0</v>
      </c>
      <c r="S15" s="35" t="n">
        <f aca="false">S14</f>
        <v>-0</v>
      </c>
      <c r="T15" s="35" t="n">
        <f aca="false">T14</f>
        <v>-0</v>
      </c>
      <c r="U15" s="35" t="n">
        <f aca="false">U14</f>
        <v>-0</v>
      </c>
      <c r="V15" s="35" t="n">
        <f aca="false">V14</f>
        <v>-0</v>
      </c>
      <c r="W15" s="35" t="n">
        <f aca="false">W14</f>
        <v>-0</v>
      </c>
      <c r="X15" s="35" t="n">
        <f aca="false">X14</f>
        <v>-0</v>
      </c>
      <c r="Y15" s="35" t="n">
        <f aca="false">Y14</f>
        <v>-0</v>
      </c>
    </row>
    <row r="16" customFormat="false" ht="15" hidden="false" customHeight="true" outlineLevel="0" collapsed="false">
      <c r="A16" s="10" t="s">
        <v>231</v>
      </c>
      <c r="C16" s="35" t="n">
        <f aca="false">C11+C13+C15</f>
        <v>-10</v>
      </c>
      <c r="D16" s="35" t="n">
        <f aca="false">D11+D13+D15</f>
        <v>0</v>
      </c>
      <c r="E16" s="35" t="n">
        <f aca="false">E11+E13+E15</f>
        <v>0</v>
      </c>
      <c r="F16" s="35" t="n">
        <f aca="false">F11+F13+F15</f>
        <v>0</v>
      </c>
      <c r="G16" s="35" t="n">
        <f aca="false">G11+G13+G15</f>
        <v>0</v>
      </c>
      <c r="H16" s="35" t="n">
        <f aca="false">H11+H13+H15</f>
        <v>0</v>
      </c>
      <c r="I16" s="35" t="n">
        <f aca="false">I11+I13+I15</f>
        <v>0</v>
      </c>
      <c r="J16" s="35" t="n">
        <f aca="false">J11+J13+J15</f>
        <v>0</v>
      </c>
      <c r="K16" s="35" t="n">
        <f aca="false">K11+K13+K15</f>
        <v>2.27621917818383</v>
      </c>
      <c r="L16" s="35" t="n">
        <f aca="false">L11+L13+L15</f>
        <v>31.9116766</v>
      </c>
      <c r="M16" s="35" t="n">
        <f aca="false">M11+M13+M15</f>
        <v>37.6918404625</v>
      </c>
      <c r="N16" s="35" t="n">
        <f aca="false">N11+N13+N15</f>
        <v>41.8662029875</v>
      </c>
      <c r="O16" s="35" t="n">
        <f aca="false">O11+O13+O15</f>
        <v>53.3051154375</v>
      </c>
      <c r="P16" s="35" t="n">
        <f aca="false">P11+P13+P15</f>
        <v>61.2562048875</v>
      </c>
      <c r="Q16" s="35" t="n">
        <f aca="false">Q11+Q13+Q15</f>
        <v>65.780758325</v>
      </c>
      <c r="R16" s="35" t="n">
        <f aca="false">R11+R13+R15</f>
        <v>75.8410963875</v>
      </c>
      <c r="S16" s="35" t="n">
        <f aca="false">S11+S13+S15</f>
        <v>87.6069756125</v>
      </c>
      <c r="T16" s="35" t="n">
        <f aca="false">T11+T13+T15</f>
        <v>89.8422</v>
      </c>
      <c r="U16" s="35" t="n">
        <f aca="false">U11+U13+U15</f>
        <v>77.8202</v>
      </c>
      <c r="V16" s="35" t="n">
        <f aca="false">V11+V13+V15</f>
        <v>59.0402</v>
      </c>
      <c r="W16" s="35" t="n">
        <f aca="false">W11+W13+W15</f>
        <v>37.6308</v>
      </c>
      <c r="X16" s="35" t="n">
        <f aca="false">X11+X13+X15</f>
        <v>13.2243</v>
      </c>
      <c r="Y16" s="35" t="n">
        <f aca="false">Y11+Y13+Y15</f>
        <v>0</v>
      </c>
    </row>
    <row r="17" customFormat="false" ht="15" hidden="false" customHeight="true" outlineLevel="0" collapsed="false">
      <c r="A17" s="12" t="s">
        <v>217</v>
      </c>
      <c r="C17" s="17" t="n">
        <f aca="false">'Debt Schedule'!C15</f>
        <v>18</v>
      </c>
      <c r="D17" s="17" t="n">
        <f aca="false">'Debt Schedule'!D15</f>
        <v>8</v>
      </c>
      <c r="E17" s="17" t="n">
        <f aca="false">'Debt Schedule'!E15</f>
        <v>8</v>
      </c>
      <c r="F17" s="17" t="n">
        <f aca="false">'Debt Schedule'!F15</f>
        <v>8</v>
      </c>
      <c r="G17" s="17" t="n">
        <f aca="false">'Debt Schedule'!G15</f>
        <v>8</v>
      </c>
      <c r="H17" s="17" t="n">
        <f aca="false">'Debt Schedule'!H15</f>
        <v>8</v>
      </c>
      <c r="I17" s="17" t="n">
        <f aca="false">'Debt Schedule'!I15</f>
        <v>8</v>
      </c>
      <c r="J17" s="17" t="n">
        <f aca="false">'Debt Schedule'!J15</f>
        <v>8</v>
      </c>
      <c r="K17" s="17" t="n">
        <f aca="false">'Debt Schedule'!K15</f>
        <v>8</v>
      </c>
      <c r="L17" s="17" t="n">
        <f aca="false">'Debt Schedule'!L15</f>
        <v>10.2762191781838</v>
      </c>
      <c r="M17" s="17" t="n">
        <f aca="false">'Debt Schedule'!M15</f>
        <v>42.1878957781838</v>
      </c>
      <c r="N17" s="17" t="n">
        <f aca="false">'Debt Schedule'!N15</f>
        <v>79.8797362406838</v>
      </c>
      <c r="O17" s="17" t="n">
        <f aca="false">'Debt Schedule'!O15</f>
        <v>121.745939228184</v>
      </c>
      <c r="P17" s="17" t="n">
        <f aca="false">'Debt Schedule'!P15</f>
        <v>175.051054665684</v>
      </c>
      <c r="Q17" s="17" t="n">
        <f aca="false">'Debt Schedule'!Q15</f>
        <v>236.307259553184</v>
      </c>
      <c r="R17" s="17" t="n">
        <f aca="false">'Debt Schedule'!R15</f>
        <v>302.088017878184</v>
      </c>
      <c r="S17" s="17" t="n">
        <f aca="false">'Debt Schedule'!S15</f>
        <v>377.929114265684</v>
      </c>
      <c r="T17" s="17" t="n">
        <f aca="false">'Debt Schedule'!T15</f>
        <v>465.536089878184</v>
      </c>
      <c r="U17" s="17" t="n">
        <f aca="false">'Debt Schedule'!U15</f>
        <v>555.378289878184</v>
      </c>
      <c r="V17" s="17" t="n">
        <f aca="false">'Debt Schedule'!V15</f>
        <v>633.198489878184</v>
      </c>
      <c r="W17" s="17" t="n">
        <f aca="false">'Debt Schedule'!W15</f>
        <v>692.238689878184</v>
      </c>
      <c r="X17" s="17" t="n">
        <f aca="false">'Debt Schedule'!X15</f>
        <v>729.869489878184</v>
      </c>
      <c r="Y17" s="17" t="n">
        <f aca="false">'Debt Schedule'!Y15</f>
        <v>743.093789878184</v>
      </c>
    </row>
    <row r="18" customFormat="false" ht="15" hidden="false" customHeight="true" outlineLevel="0" collapsed="false">
      <c r="A18" s="10" t="s">
        <v>221</v>
      </c>
      <c r="C18" s="36" t="n">
        <f aca="false">C17+C16</f>
        <v>8</v>
      </c>
      <c r="D18" s="36" t="n">
        <f aca="false">D17+D16</f>
        <v>8</v>
      </c>
      <c r="E18" s="36" t="n">
        <f aca="false">E17+E16</f>
        <v>8</v>
      </c>
      <c r="F18" s="36" t="n">
        <f aca="false">F17+F16</f>
        <v>8</v>
      </c>
      <c r="G18" s="36" t="n">
        <f aca="false">G17+G16</f>
        <v>8</v>
      </c>
      <c r="H18" s="36" t="n">
        <f aca="false">H17+H16</f>
        <v>8</v>
      </c>
      <c r="I18" s="36" t="n">
        <f aca="false">I17+I16</f>
        <v>8</v>
      </c>
      <c r="J18" s="36" t="n">
        <f aca="false">J17+J16</f>
        <v>8</v>
      </c>
      <c r="K18" s="36" t="n">
        <f aca="false">K17+K16</f>
        <v>10.2762191781838</v>
      </c>
      <c r="L18" s="36" t="n">
        <f aca="false">L17+L16</f>
        <v>42.1878957781838</v>
      </c>
      <c r="M18" s="36" t="n">
        <f aca="false">M17+M16</f>
        <v>79.8797362406838</v>
      </c>
      <c r="N18" s="36" t="n">
        <f aca="false">N17+N16</f>
        <v>121.745939228184</v>
      </c>
      <c r="O18" s="36" t="n">
        <f aca="false">O17+O16</f>
        <v>175.051054665684</v>
      </c>
      <c r="P18" s="36" t="n">
        <f aca="false">P17+P16</f>
        <v>236.307259553184</v>
      </c>
      <c r="Q18" s="36" t="n">
        <f aca="false">Q17+Q16</f>
        <v>302.088017878184</v>
      </c>
      <c r="R18" s="36" t="n">
        <f aca="false">R17+R16</f>
        <v>377.929114265684</v>
      </c>
      <c r="S18" s="36" t="n">
        <f aca="false">S17+S16</f>
        <v>465.536089878184</v>
      </c>
      <c r="T18" s="36" t="n">
        <f aca="false">T17+T16</f>
        <v>555.378289878184</v>
      </c>
      <c r="U18" s="36" t="n">
        <f aca="false">U17+U16</f>
        <v>633.198489878184</v>
      </c>
      <c r="V18" s="36" t="n">
        <f aca="false">V17+V16</f>
        <v>692.238689878184</v>
      </c>
      <c r="W18" s="36" t="n">
        <f aca="false">W17+W16</f>
        <v>729.869489878184</v>
      </c>
      <c r="X18" s="36" t="n">
        <f aca="false">X17+X16</f>
        <v>743.093789878184</v>
      </c>
      <c r="Y18" s="36" t="n">
        <f aca="false">Y17+Y16</f>
        <v>743.093789878184</v>
      </c>
    </row>
    <row r="19" customFormat="false" ht="15" hidden="false" customHeight="true" outlineLevel="0" collapsed="false">
      <c r="A19" s="12" t="s">
        <v>232</v>
      </c>
      <c r="C19" s="45" t="n">
        <f aca="false">C18-'Debt Schedule'!C19</f>
        <v>0</v>
      </c>
      <c r="D19" s="45" t="n">
        <f aca="false">D18-'Debt Schedule'!D19</f>
        <v>0</v>
      </c>
      <c r="E19" s="45" t="n">
        <f aca="false">E18-'Debt Schedule'!E19</f>
        <v>0</v>
      </c>
      <c r="F19" s="45" t="n">
        <f aca="false">F18-'Debt Schedule'!F19</f>
        <v>0</v>
      </c>
      <c r="G19" s="45" t="n">
        <f aca="false">G18-'Debt Schedule'!G19</f>
        <v>0</v>
      </c>
      <c r="H19" s="45" t="n">
        <f aca="false">H18-'Debt Schedule'!H19</f>
        <v>0</v>
      </c>
      <c r="I19" s="45" t="n">
        <f aca="false">I18-'Debt Schedule'!I19</f>
        <v>0</v>
      </c>
      <c r="J19" s="45" t="n">
        <f aca="false">J18-'Debt Schedule'!J19</f>
        <v>0</v>
      </c>
      <c r="K19" s="45" t="n">
        <f aca="false">K18-'Debt Schedule'!K19</f>
        <v>0</v>
      </c>
      <c r="L19" s="45" t="n">
        <f aca="false">L18-'Debt Schedule'!L19</f>
        <v>0</v>
      </c>
      <c r="M19" s="45" t="n">
        <f aca="false">M18-'Debt Schedule'!M19</f>
        <v>0</v>
      </c>
      <c r="N19" s="45" t="n">
        <f aca="false">N18-'Debt Schedule'!N19</f>
        <v>0</v>
      </c>
      <c r="O19" s="45" t="n">
        <f aca="false">O18-'Debt Schedule'!O19</f>
        <v>0</v>
      </c>
      <c r="P19" s="45" t="n">
        <f aca="false">P18-'Debt Schedule'!P19</f>
        <v>0</v>
      </c>
      <c r="Q19" s="45" t="n">
        <f aca="false">Q18-'Debt Schedule'!Q19</f>
        <v>0</v>
      </c>
      <c r="R19" s="45" t="n">
        <f aca="false">R18-'Debt Schedule'!R19</f>
        <v>0</v>
      </c>
      <c r="S19" s="45" t="n">
        <f aca="false">S18-'Debt Schedule'!S19</f>
        <v>0</v>
      </c>
      <c r="T19" s="45" t="n">
        <f aca="false">T18-'Debt Schedule'!T19</f>
        <v>0</v>
      </c>
      <c r="U19" s="45" t="n">
        <f aca="false">U18-'Debt Schedule'!U19</f>
        <v>0</v>
      </c>
      <c r="V19" s="45" t="n">
        <f aca="false">V18-'Debt Schedule'!V19</f>
        <v>0</v>
      </c>
      <c r="W19" s="45" t="n">
        <f aca="false">W18-'Debt Schedule'!W19</f>
        <v>0</v>
      </c>
      <c r="X19" s="45" t="n">
        <f aca="false">X18-'Debt Schedule'!X19</f>
        <v>0</v>
      </c>
      <c r="Y19" s="45" t="n">
        <f aca="false">Y18-'Debt Schedule'!Y19</f>
        <v>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Y2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4" width="30"/>
    <col collapsed="false" customWidth="true" hidden="false" outlineLevel="0" max="25" min="3" style="4" width="8"/>
  </cols>
  <sheetData>
    <row r="1" customFormat="false" ht="21.75" hidden="false" customHeight="true" outlineLevel="0" collapsed="false">
      <c r="A1" s="5" t="s">
        <v>233</v>
      </c>
      <c r="B1" s="6"/>
      <c r="C1" s="6"/>
      <c r="D1" s="6"/>
      <c r="E1" s="6"/>
      <c r="F1" s="6"/>
      <c r="G1" s="6"/>
      <c r="H1" s="6"/>
      <c r="I1" s="6"/>
      <c r="J1" s="6"/>
      <c r="K1" s="6"/>
      <c r="L1" s="6"/>
      <c r="M1" s="6"/>
      <c r="N1" s="6"/>
      <c r="O1" s="6"/>
      <c r="P1" s="6"/>
      <c r="Q1" s="6"/>
      <c r="R1" s="6"/>
      <c r="S1" s="6"/>
      <c r="T1" s="6"/>
      <c r="U1" s="6"/>
      <c r="V1" s="6"/>
      <c r="W1" s="6"/>
      <c r="X1" s="6"/>
      <c r="Y1" s="6"/>
    </row>
    <row r="2" customFormat="false" ht="15" hidden="false" customHeight="true" outlineLevel="0" collapsed="false">
      <c r="A2" s="7" t="s">
        <v>234</v>
      </c>
    </row>
    <row r="3" customFormat="false" ht="15" hidden="false" customHeight="true" outlineLevel="0" collapsed="false">
      <c r="A3" s="40" t="s">
        <v>159</v>
      </c>
      <c r="C3" s="41" t="s">
        <v>160</v>
      </c>
      <c r="D3" s="41" t="s">
        <v>161</v>
      </c>
      <c r="E3" s="41" t="s">
        <v>162</v>
      </c>
      <c r="F3" s="41" t="s">
        <v>163</v>
      </c>
      <c r="G3" s="41" t="s">
        <v>164</v>
      </c>
      <c r="H3" s="41" t="s">
        <v>165</v>
      </c>
      <c r="I3" s="41" t="s">
        <v>166</v>
      </c>
      <c r="J3" s="41" t="s">
        <v>167</v>
      </c>
      <c r="K3" s="41" t="s">
        <v>168</v>
      </c>
      <c r="L3" s="41" t="s">
        <v>169</v>
      </c>
      <c r="M3" s="41" t="s">
        <v>170</v>
      </c>
      <c r="N3" s="41" t="s">
        <v>171</v>
      </c>
      <c r="O3" s="41" t="s">
        <v>172</v>
      </c>
      <c r="P3" s="41" t="s">
        <v>173</v>
      </c>
      <c r="Q3" s="41" t="s">
        <v>174</v>
      </c>
      <c r="R3" s="41" t="s">
        <v>175</v>
      </c>
      <c r="S3" s="41" t="s">
        <v>176</v>
      </c>
      <c r="T3" s="41" t="s">
        <v>177</v>
      </c>
      <c r="U3" s="41" t="s">
        <v>178</v>
      </c>
      <c r="V3" s="41" t="s">
        <v>179</v>
      </c>
      <c r="W3" s="41" t="s">
        <v>180</v>
      </c>
      <c r="X3" s="41" t="s">
        <v>181</v>
      </c>
      <c r="Y3" s="41" t="s">
        <v>182</v>
      </c>
    </row>
    <row r="4" customFormat="false" ht="15" hidden="false" customHeight="true" outlineLevel="0" collapsed="false">
      <c r="A4" s="46" t="s">
        <v>235</v>
      </c>
      <c r="B4" s="9"/>
      <c r="C4" s="9"/>
      <c r="D4" s="9"/>
      <c r="E4" s="9"/>
      <c r="F4" s="9"/>
      <c r="G4" s="9"/>
      <c r="H4" s="9"/>
      <c r="I4" s="9"/>
      <c r="J4" s="9"/>
      <c r="K4" s="9"/>
      <c r="L4" s="9"/>
      <c r="M4" s="9"/>
      <c r="N4" s="9"/>
      <c r="O4" s="9"/>
      <c r="P4" s="9"/>
      <c r="Q4" s="9"/>
      <c r="R4" s="9"/>
      <c r="S4" s="9"/>
      <c r="T4" s="9"/>
      <c r="U4" s="9"/>
      <c r="V4" s="9"/>
      <c r="W4" s="9"/>
      <c r="X4" s="9"/>
      <c r="Y4" s="9"/>
    </row>
    <row r="5" customFormat="false" ht="15" hidden="false" customHeight="true" outlineLevel="0" collapsed="false">
      <c r="A5" s="12" t="s">
        <v>236</v>
      </c>
      <c r="C5" s="17" t="n">
        <f aca="false">'Debt Schedule'!C19</f>
        <v>8</v>
      </c>
      <c r="D5" s="17" t="n">
        <f aca="false">'Debt Schedule'!D19</f>
        <v>8</v>
      </c>
      <c r="E5" s="17" t="n">
        <f aca="false">'Debt Schedule'!E19</f>
        <v>8</v>
      </c>
      <c r="F5" s="17" t="n">
        <f aca="false">'Debt Schedule'!F19</f>
        <v>8</v>
      </c>
      <c r="G5" s="17" t="n">
        <f aca="false">'Debt Schedule'!G19</f>
        <v>8</v>
      </c>
      <c r="H5" s="17" t="n">
        <f aca="false">'Debt Schedule'!H19</f>
        <v>8</v>
      </c>
      <c r="I5" s="17" t="n">
        <f aca="false">'Debt Schedule'!I19</f>
        <v>8</v>
      </c>
      <c r="J5" s="17" t="n">
        <f aca="false">'Debt Schedule'!J19</f>
        <v>8</v>
      </c>
      <c r="K5" s="17" t="n">
        <f aca="false">'Debt Schedule'!K19</f>
        <v>10.2762191781838</v>
      </c>
      <c r="L5" s="17" t="n">
        <f aca="false">'Debt Schedule'!L19</f>
        <v>42.1878957781838</v>
      </c>
      <c r="M5" s="17" t="n">
        <f aca="false">'Debt Schedule'!M19</f>
        <v>79.8797362406838</v>
      </c>
      <c r="N5" s="17" t="n">
        <f aca="false">'Debt Schedule'!N19</f>
        <v>121.745939228184</v>
      </c>
      <c r="O5" s="17" t="n">
        <f aca="false">'Debt Schedule'!O19</f>
        <v>175.051054665684</v>
      </c>
      <c r="P5" s="17" t="n">
        <f aca="false">'Debt Schedule'!P19</f>
        <v>236.307259553184</v>
      </c>
      <c r="Q5" s="17" t="n">
        <f aca="false">'Debt Schedule'!Q19</f>
        <v>302.088017878184</v>
      </c>
      <c r="R5" s="17" t="n">
        <f aca="false">'Debt Schedule'!R19</f>
        <v>377.929114265684</v>
      </c>
      <c r="S5" s="17" t="n">
        <f aca="false">'Debt Schedule'!S19</f>
        <v>465.536089878184</v>
      </c>
      <c r="T5" s="17" t="n">
        <f aca="false">'Debt Schedule'!T19</f>
        <v>555.378289878184</v>
      </c>
      <c r="U5" s="17" t="n">
        <f aca="false">'Debt Schedule'!U19</f>
        <v>633.198489878184</v>
      </c>
      <c r="V5" s="17" t="n">
        <f aca="false">'Debt Schedule'!V19</f>
        <v>692.238689878184</v>
      </c>
      <c r="W5" s="17" t="n">
        <f aca="false">'Debt Schedule'!W19</f>
        <v>729.869489878184</v>
      </c>
      <c r="X5" s="17" t="n">
        <f aca="false">'Debt Schedule'!X19</f>
        <v>743.093789878184</v>
      </c>
      <c r="Y5" s="17" t="n">
        <f aca="false">'Debt Schedule'!Y19</f>
        <v>743.093789878184</v>
      </c>
    </row>
    <row r="6" customFormat="false" ht="15" hidden="false" customHeight="true" outlineLevel="0" collapsed="false">
      <c r="A6" s="12" t="s">
        <v>237</v>
      </c>
      <c r="C6" s="33" t="n">
        <f aca="false">MAX(C24,0)</f>
        <v>0</v>
      </c>
      <c r="D6" s="33" t="n">
        <f aca="false">MAX(D24,0)</f>
        <v>2.36859999999999</v>
      </c>
      <c r="E6" s="33" t="n">
        <f aca="false">MAX(E24,0)</f>
        <v>39.3697</v>
      </c>
      <c r="F6" s="33" t="n">
        <f aca="false">MAX(F24,0)</f>
        <v>90.4297</v>
      </c>
      <c r="G6" s="33" t="n">
        <f aca="false">MAX(G24,0)</f>
        <v>154.5363</v>
      </c>
      <c r="H6" s="33" t="n">
        <f aca="false">MAX(H24,0)</f>
        <v>219.8139</v>
      </c>
      <c r="I6" s="33" t="n">
        <f aca="false">MAX(I24,0)</f>
        <v>284.5886</v>
      </c>
      <c r="J6" s="33" t="n">
        <f aca="false">MAX(J24,0)</f>
        <v>336.1136</v>
      </c>
      <c r="K6" s="33" t="n">
        <f aca="false">MAX(K24,0)</f>
        <v>384.0583</v>
      </c>
      <c r="L6" s="33" t="n">
        <f aca="false">MAX(L24,0)</f>
        <v>421.7502</v>
      </c>
      <c r="M6" s="33" t="n">
        <f aca="false">MAX(M24,0)</f>
        <v>453.4574</v>
      </c>
      <c r="N6" s="33" t="n">
        <f aca="false">MAX(N24,0)</f>
        <v>478.7495</v>
      </c>
      <c r="O6" s="33" t="n">
        <f aca="false">MAX(O24,0)</f>
        <v>485.9954</v>
      </c>
      <c r="P6" s="33" t="n">
        <f aca="false">MAX(P24,0)</f>
        <v>474.4131</v>
      </c>
      <c r="Q6" s="33" t="n">
        <f aca="false">MAX(Q24,0)</f>
        <v>446.4897</v>
      </c>
      <c r="R6" s="33" t="n">
        <f aca="false">MAX(R24,0)</f>
        <v>395.035</v>
      </c>
      <c r="S6" s="33" t="n">
        <f aca="false">MAX(S24,0)</f>
        <v>316.4573</v>
      </c>
      <c r="T6" s="33" t="n">
        <f aca="false">MAX(T24,0)</f>
        <v>226.6151</v>
      </c>
      <c r="U6" s="33" t="n">
        <f aca="false">MAX(U24,0)</f>
        <v>148.7949</v>
      </c>
      <c r="V6" s="33" t="n">
        <f aca="false">MAX(V24,0)</f>
        <v>89.7547000000004</v>
      </c>
      <c r="W6" s="33" t="n">
        <f aca="false">MAX(W24,0)</f>
        <v>52.1239000000005</v>
      </c>
      <c r="X6" s="33" t="n">
        <f aca="false">MAX(X24,0)</f>
        <v>38.8996000000004</v>
      </c>
      <c r="Y6" s="33" t="n">
        <f aca="false">MAX(Y24,0)</f>
        <v>38.8996000000004</v>
      </c>
    </row>
    <row r="7" customFormat="false" ht="15" hidden="false" customHeight="true" outlineLevel="0" collapsed="false">
      <c r="A7" s="12" t="s">
        <v>238</v>
      </c>
      <c r="C7" s="33" t="n">
        <f aca="false">C25</f>
        <v>70.7697</v>
      </c>
      <c r="D7" s="33" t="n">
        <f aca="false">D25</f>
        <v>57.7102</v>
      </c>
      <c r="E7" s="33" t="n">
        <f aca="false">E25</f>
        <v>39.4214</v>
      </c>
      <c r="F7" s="33" t="n">
        <f aca="false">F25</f>
        <v>15.1718</v>
      </c>
      <c r="G7" s="33" t="n">
        <f aca="false">G25</f>
        <v>-15.4206</v>
      </c>
      <c r="H7" s="33" t="n">
        <f aca="false">H25</f>
        <v>-48.3648</v>
      </c>
      <c r="I7" s="33" t="n">
        <f aca="false">I25</f>
        <v>-85.2551</v>
      </c>
      <c r="J7" s="33" t="n">
        <f aca="false">J25</f>
        <v>-119.2256</v>
      </c>
      <c r="K7" s="33" t="n">
        <f aca="false">K25</f>
        <v>-157.1714</v>
      </c>
      <c r="L7" s="33" t="n">
        <f aca="false">L25</f>
        <v>-194.9715</v>
      </c>
      <c r="M7" s="33" t="n">
        <f aca="false">M25</f>
        <v>-232.8054</v>
      </c>
      <c r="N7" s="33" t="n">
        <f aca="false">N25</f>
        <v>-270.7783</v>
      </c>
      <c r="O7" s="33" t="n">
        <f aca="false">O25</f>
        <v>-303.2043</v>
      </c>
      <c r="P7" s="33" t="n">
        <f aca="false">P25</f>
        <v>-329.9624</v>
      </c>
      <c r="Q7" s="33" t="n">
        <f aca="false">Q25</f>
        <v>-350.5101</v>
      </c>
      <c r="R7" s="33" t="n">
        <f aca="false">R25</f>
        <v>-363.9778</v>
      </c>
      <c r="S7" s="33" t="n">
        <f aca="false">S25</f>
        <v>-369.374</v>
      </c>
      <c r="T7" s="33" t="n">
        <f aca="false">T25</f>
        <v>-369.374</v>
      </c>
      <c r="U7" s="33" t="n">
        <f aca="false">U25</f>
        <v>-369.374</v>
      </c>
      <c r="V7" s="33" t="n">
        <f aca="false">V25</f>
        <v>-369.374</v>
      </c>
      <c r="W7" s="33" t="n">
        <f aca="false">W25</f>
        <v>-369.374</v>
      </c>
      <c r="X7" s="33" t="n">
        <f aca="false">X25</f>
        <v>-369.374</v>
      </c>
      <c r="Y7" s="33" t="n">
        <f aca="false">Y25</f>
        <v>-369.374</v>
      </c>
    </row>
    <row r="8" customFormat="false" ht="15" hidden="false" customHeight="true" outlineLevel="0" collapsed="false">
      <c r="A8" s="12" t="s">
        <v>239</v>
      </c>
      <c r="C8" s="17" t="n">
        <f aca="false">Assumptions!$B$25</f>
        <v>65</v>
      </c>
      <c r="D8" s="17" t="n">
        <f aca="false">Assumptions!$B$25</f>
        <v>65</v>
      </c>
      <c r="E8" s="17" t="n">
        <f aca="false">Assumptions!$B$25</f>
        <v>65</v>
      </c>
      <c r="F8" s="17" t="n">
        <f aca="false">Assumptions!$B$25</f>
        <v>65</v>
      </c>
      <c r="G8" s="17" t="n">
        <f aca="false">Assumptions!$B$25</f>
        <v>65</v>
      </c>
      <c r="H8" s="17" t="n">
        <f aca="false">Assumptions!$B$25</f>
        <v>65</v>
      </c>
      <c r="I8" s="17" t="n">
        <f aca="false">Assumptions!$B$25</f>
        <v>65</v>
      </c>
      <c r="J8" s="17" t="n">
        <f aca="false">Assumptions!$B$25</f>
        <v>65</v>
      </c>
      <c r="K8" s="17" t="n">
        <f aca="false">Assumptions!$B$25</f>
        <v>65</v>
      </c>
      <c r="L8" s="17" t="n">
        <f aca="false">Assumptions!$B$25</f>
        <v>65</v>
      </c>
      <c r="M8" s="17" t="n">
        <f aca="false">Assumptions!$B$25</f>
        <v>65</v>
      </c>
      <c r="N8" s="17" t="n">
        <f aca="false">Assumptions!$B$25</f>
        <v>65</v>
      </c>
      <c r="O8" s="17" t="n">
        <f aca="false">Assumptions!$B$25</f>
        <v>65</v>
      </c>
      <c r="P8" s="17" t="n">
        <f aca="false">Assumptions!$B$25</f>
        <v>65</v>
      </c>
      <c r="Q8" s="17" t="n">
        <f aca="false">Assumptions!$B$25</f>
        <v>65</v>
      </c>
      <c r="R8" s="17" t="n">
        <f aca="false">Assumptions!$B$25</f>
        <v>65</v>
      </c>
      <c r="S8" s="17" t="n">
        <f aca="false">Assumptions!$B$25</f>
        <v>65</v>
      </c>
      <c r="T8" s="17" t="n">
        <f aca="false">Assumptions!$B$25</f>
        <v>65</v>
      </c>
      <c r="U8" s="17" t="n">
        <f aca="false">Assumptions!$B$25</f>
        <v>65</v>
      </c>
      <c r="V8" s="17" t="n">
        <f aca="false">Assumptions!$B$25</f>
        <v>65</v>
      </c>
      <c r="W8" s="17" t="n">
        <f aca="false">Assumptions!$B$25</f>
        <v>65</v>
      </c>
      <c r="X8" s="17" t="n">
        <f aca="false">Assumptions!$B$25</f>
        <v>65</v>
      </c>
      <c r="Y8" s="17" t="n">
        <f aca="false">Assumptions!$B$25</f>
        <v>65</v>
      </c>
    </row>
    <row r="9" customFormat="false" ht="15" hidden="false" customHeight="true" outlineLevel="0" collapsed="false">
      <c r="A9" s="10" t="s">
        <v>240</v>
      </c>
      <c r="C9" s="36" t="n">
        <f aca="false">C5+C6+C7+C8</f>
        <v>143.7697</v>
      </c>
      <c r="D9" s="36" t="n">
        <f aca="false">D5+D6+D7+D8</f>
        <v>133.0788</v>
      </c>
      <c r="E9" s="36" t="n">
        <f aca="false">E5+E6+E7+E8</f>
        <v>151.7911</v>
      </c>
      <c r="F9" s="36" t="n">
        <f aca="false">F5+F6+F7+F8</f>
        <v>178.6015</v>
      </c>
      <c r="G9" s="36" t="n">
        <f aca="false">G5+G6+G7+G8</f>
        <v>212.1157</v>
      </c>
      <c r="H9" s="36" t="n">
        <f aca="false">H5+H6+H7+H8</f>
        <v>244.4491</v>
      </c>
      <c r="I9" s="36" t="n">
        <f aca="false">I5+I6+I7+I8</f>
        <v>272.3335</v>
      </c>
      <c r="J9" s="36" t="n">
        <f aca="false">J5+J6+J7+J8</f>
        <v>289.888</v>
      </c>
      <c r="K9" s="36" t="n">
        <f aca="false">K5+K6+K7+K8</f>
        <v>302.163119178184</v>
      </c>
      <c r="L9" s="36" t="n">
        <f aca="false">L5+L6+L7+L8</f>
        <v>333.966595778184</v>
      </c>
      <c r="M9" s="36" t="n">
        <f aca="false">M5+M6+M7+M8</f>
        <v>365.531736240684</v>
      </c>
      <c r="N9" s="36" t="n">
        <f aca="false">N5+N6+N7+N8</f>
        <v>394.717139228184</v>
      </c>
      <c r="O9" s="36" t="n">
        <f aca="false">O5+O6+O7+O8</f>
        <v>422.842154665684</v>
      </c>
      <c r="P9" s="36" t="n">
        <f aca="false">P5+P6+P7+P8</f>
        <v>445.757959553184</v>
      </c>
      <c r="Q9" s="36" t="n">
        <f aca="false">Q5+Q6+Q7+Q8</f>
        <v>463.067617878184</v>
      </c>
      <c r="R9" s="36" t="n">
        <f aca="false">R5+R6+R7+R8</f>
        <v>473.986314265684</v>
      </c>
      <c r="S9" s="36" t="n">
        <f aca="false">S5+S6+S7+S8</f>
        <v>477.619389878184</v>
      </c>
      <c r="T9" s="36" t="n">
        <f aca="false">T5+T6+T7+T8</f>
        <v>477.619389878184</v>
      </c>
      <c r="U9" s="36" t="n">
        <f aca="false">U5+U6+U7+U8</f>
        <v>477.619389878184</v>
      </c>
      <c r="V9" s="36" t="n">
        <f aca="false">V5+V6+V7+V8</f>
        <v>477.619389878184</v>
      </c>
      <c r="W9" s="36" t="n">
        <f aca="false">W5+W6+W7+W8</f>
        <v>477.619389878184</v>
      </c>
      <c r="X9" s="36" t="n">
        <f aca="false">X5+X6+X7+X8</f>
        <v>477.619389878184</v>
      </c>
      <c r="Y9" s="36" t="n">
        <f aca="false">Y5+Y6+Y7+Y8</f>
        <v>477.619389878184</v>
      </c>
    </row>
    <row r="10" customFormat="false" ht="15" hidden="false" customHeight="true" outlineLevel="0" collapsed="false">
      <c r="A10" s="46" t="s">
        <v>241</v>
      </c>
      <c r="B10" s="9"/>
      <c r="C10" s="9"/>
      <c r="D10" s="9"/>
      <c r="E10" s="9"/>
      <c r="F10" s="9"/>
      <c r="G10" s="9"/>
      <c r="H10" s="9"/>
      <c r="I10" s="9"/>
      <c r="J10" s="9"/>
      <c r="K10" s="9"/>
      <c r="L10" s="9"/>
      <c r="M10" s="9"/>
      <c r="N10" s="9"/>
      <c r="O10" s="9"/>
      <c r="P10" s="9"/>
      <c r="Q10" s="9"/>
      <c r="R10" s="9"/>
      <c r="S10" s="9"/>
      <c r="T10" s="9"/>
      <c r="U10" s="9"/>
      <c r="V10" s="9"/>
      <c r="W10" s="9"/>
      <c r="X10" s="9"/>
      <c r="Y10" s="9"/>
    </row>
    <row r="11" customFormat="false" ht="15" hidden="false" customHeight="true" outlineLevel="0" collapsed="false">
      <c r="A11" s="12" t="s">
        <v>242</v>
      </c>
      <c r="C11" s="17" t="n">
        <f aca="false">'Debt Schedule'!C18</f>
        <v>21.3682445125</v>
      </c>
      <c r="D11" s="17" t="n">
        <f aca="false">'Debt Schedule'!D18</f>
        <v>22.4196461344937</v>
      </c>
      <c r="E11" s="17" t="n">
        <f aca="false">'Debt Schedule'!E18</f>
        <v>24.7215930077556</v>
      </c>
      <c r="F11" s="17" t="n">
        <f aca="false">'Debt Schedule'!F18</f>
        <v>28.4550789823375</v>
      </c>
      <c r="G11" s="17" t="n">
        <f aca="false">'Debt Schedule'!G18</f>
        <v>32.2941122003736</v>
      </c>
      <c r="H11" s="17" t="n">
        <f aca="false">'Debt Schedule'!H18</f>
        <v>30.9705507898257</v>
      </c>
      <c r="I11" s="17" t="n">
        <f aca="false">'Debt Schedule'!I18</f>
        <v>25.0970095500064</v>
      </c>
      <c r="J11" s="17" t="n">
        <f aca="false">'Debt Schedule'!J18</f>
        <v>16.2093858572323</v>
      </c>
      <c r="K11" s="17" t="n">
        <f aca="false">'Debt Schedule'!K18</f>
        <v>0</v>
      </c>
      <c r="L11" s="17" t="n">
        <f aca="false">'Debt Schedule'!L18</f>
        <v>0</v>
      </c>
      <c r="M11" s="17" t="n">
        <f aca="false">'Debt Schedule'!M18</f>
        <v>0</v>
      </c>
      <c r="N11" s="17" t="n">
        <f aca="false">'Debt Schedule'!N18</f>
        <v>0</v>
      </c>
      <c r="O11" s="17" t="n">
        <f aca="false">'Debt Schedule'!O18</f>
        <v>0</v>
      </c>
      <c r="P11" s="17" t="n">
        <f aca="false">'Debt Schedule'!P18</f>
        <v>0</v>
      </c>
      <c r="Q11" s="17" t="n">
        <f aca="false">'Debt Schedule'!Q18</f>
        <v>0</v>
      </c>
      <c r="R11" s="17" t="n">
        <f aca="false">'Debt Schedule'!R18</f>
        <v>0</v>
      </c>
      <c r="S11" s="17" t="n">
        <f aca="false">'Debt Schedule'!S18</f>
        <v>0</v>
      </c>
      <c r="T11" s="17" t="n">
        <f aca="false">'Debt Schedule'!T18</f>
        <v>0</v>
      </c>
      <c r="U11" s="17" t="n">
        <f aca="false">'Debt Schedule'!U18</f>
        <v>0</v>
      </c>
      <c r="V11" s="17" t="n">
        <f aca="false">'Debt Schedule'!V18</f>
        <v>0</v>
      </c>
      <c r="W11" s="17" t="n">
        <f aca="false">'Debt Schedule'!W18</f>
        <v>0</v>
      </c>
      <c r="X11" s="17" t="n">
        <f aca="false">'Debt Schedule'!X18</f>
        <v>0</v>
      </c>
      <c r="Y11" s="17" t="n">
        <f aca="false">'Debt Schedule'!Y18</f>
        <v>0</v>
      </c>
    </row>
    <row r="12" customFormat="false" ht="15" hidden="false" customHeight="true" outlineLevel="0" collapsed="false">
      <c r="A12" s="12" t="s">
        <v>243</v>
      </c>
      <c r="C12" s="33" t="n">
        <f aca="false">MAX(-C24,0)</f>
        <v>23.0281</v>
      </c>
      <c r="D12" s="33" t="n">
        <f aca="false">MAX(-D24,0)</f>
        <v>0</v>
      </c>
      <c r="E12" s="33" t="n">
        <f aca="false">MAX(-E24,0)</f>
        <v>0</v>
      </c>
      <c r="F12" s="33" t="n">
        <f aca="false">MAX(-F24,0)</f>
        <v>0</v>
      </c>
      <c r="G12" s="33" t="n">
        <f aca="false">MAX(-G24,0)</f>
        <v>0</v>
      </c>
      <c r="H12" s="33" t="n">
        <f aca="false">MAX(-H24,0)</f>
        <v>0</v>
      </c>
      <c r="I12" s="33" t="n">
        <f aca="false">MAX(-I24,0)</f>
        <v>0</v>
      </c>
      <c r="J12" s="33" t="n">
        <f aca="false">MAX(-J24,0)</f>
        <v>0</v>
      </c>
      <c r="K12" s="33" t="n">
        <f aca="false">MAX(-K24,0)</f>
        <v>0</v>
      </c>
      <c r="L12" s="33" t="n">
        <f aca="false">MAX(-L24,0)</f>
        <v>0</v>
      </c>
      <c r="M12" s="33" t="n">
        <f aca="false">MAX(-M24,0)</f>
        <v>0</v>
      </c>
      <c r="N12" s="33" t="n">
        <f aca="false">MAX(-N24,0)</f>
        <v>0</v>
      </c>
      <c r="O12" s="33" t="n">
        <f aca="false">MAX(-O24,0)</f>
        <v>0</v>
      </c>
      <c r="P12" s="33" t="n">
        <f aca="false">MAX(-P24,0)</f>
        <v>0</v>
      </c>
      <c r="Q12" s="33" t="n">
        <f aca="false">MAX(-Q24,0)</f>
        <v>0</v>
      </c>
      <c r="R12" s="33" t="n">
        <f aca="false">MAX(-R24,0)</f>
        <v>0</v>
      </c>
      <c r="S12" s="33" t="n">
        <f aca="false">MAX(-S24,0)</f>
        <v>0</v>
      </c>
      <c r="T12" s="33" t="n">
        <f aca="false">MAX(-T24,0)</f>
        <v>0</v>
      </c>
      <c r="U12" s="33" t="n">
        <f aca="false">MAX(-U24,0)</f>
        <v>0</v>
      </c>
      <c r="V12" s="33" t="n">
        <f aca="false">MAX(-V24,0)</f>
        <v>0</v>
      </c>
      <c r="W12" s="33" t="n">
        <f aca="false">MAX(-W24,0)</f>
        <v>0</v>
      </c>
      <c r="X12" s="33" t="n">
        <f aca="false">MAX(-X24,0)</f>
        <v>0</v>
      </c>
      <c r="Y12" s="33" t="n">
        <f aca="false">MAX(-Y24,0)</f>
        <v>0</v>
      </c>
    </row>
    <row r="13" customFormat="false" ht="15" hidden="false" customHeight="true" outlineLevel="0" collapsed="false">
      <c r="A13" s="12" t="s">
        <v>244</v>
      </c>
      <c r="C13" s="17" t="n">
        <f aca="false">Assumptions!$B$26</f>
        <v>30</v>
      </c>
      <c r="D13" s="17" t="n">
        <f aca="false">Assumptions!$B$26</f>
        <v>30</v>
      </c>
      <c r="E13" s="17" t="n">
        <f aca="false">Assumptions!$B$26</f>
        <v>30</v>
      </c>
      <c r="F13" s="17" t="n">
        <f aca="false">Assumptions!$B$26</f>
        <v>30</v>
      </c>
      <c r="G13" s="17" t="n">
        <f aca="false">Assumptions!$B$26</f>
        <v>30</v>
      </c>
      <c r="H13" s="17" t="n">
        <f aca="false">Assumptions!$B$26</f>
        <v>30</v>
      </c>
      <c r="I13" s="17" t="n">
        <f aca="false">Assumptions!$B$26</f>
        <v>30</v>
      </c>
      <c r="J13" s="17" t="n">
        <f aca="false">Assumptions!$B$26</f>
        <v>30</v>
      </c>
      <c r="K13" s="17" t="n">
        <f aca="false">Assumptions!$B$26</f>
        <v>30</v>
      </c>
      <c r="L13" s="17" t="n">
        <f aca="false">Assumptions!$B$26</f>
        <v>30</v>
      </c>
      <c r="M13" s="17" t="n">
        <f aca="false">Assumptions!$B$26</f>
        <v>30</v>
      </c>
      <c r="N13" s="17" t="n">
        <f aca="false">Assumptions!$B$26</f>
        <v>30</v>
      </c>
      <c r="O13" s="17" t="n">
        <f aca="false">Assumptions!$B$26</f>
        <v>30</v>
      </c>
      <c r="P13" s="17" t="n">
        <f aca="false">Assumptions!$B$26</f>
        <v>30</v>
      </c>
      <c r="Q13" s="17" t="n">
        <f aca="false">Assumptions!$B$26</f>
        <v>30</v>
      </c>
      <c r="R13" s="17" t="n">
        <f aca="false">Assumptions!$B$26</f>
        <v>30</v>
      </c>
      <c r="S13" s="17" t="n">
        <f aca="false">Assumptions!$B$26</f>
        <v>30</v>
      </c>
      <c r="T13" s="17" t="n">
        <f aca="false">Assumptions!$B$26</f>
        <v>30</v>
      </c>
      <c r="U13" s="17" t="n">
        <f aca="false">Assumptions!$B$26</f>
        <v>30</v>
      </c>
      <c r="V13" s="17" t="n">
        <f aca="false">Assumptions!$B$26</f>
        <v>30</v>
      </c>
      <c r="W13" s="17" t="n">
        <f aca="false">Assumptions!$B$26</f>
        <v>30</v>
      </c>
      <c r="X13" s="17" t="n">
        <f aca="false">Assumptions!$B$26</f>
        <v>30</v>
      </c>
      <c r="Y13" s="17" t="n">
        <f aca="false">Assumptions!$B$26</f>
        <v>30</v>
      </c>
    </row>
    <row r="14" customFormat="false" ht="15" hidden="false" customHeight="true" outlineLevel="0" collapsed="false">
      <c r="A14" s="12" t="s">
        <v>245</v>
      </c>
      <c r="C14" s="17" t="n">
        <f aca="false">Assumptions!$B$27</f>
        <v>44.8</v>
      </c>
      <c r="D14" s="17" t="n">
        <f aca="false">Assumptions!$B$27</f>
        <v>44.8</v>
      </c>
      <c r="E14" s="17" t="n">
        <f aca="false">Assumptions!$B$27</f>
        <v>44.8</v>
      </c>
      <c r="F14" s="17" t="n">
        <f aca="false">Assumptions!$B$27</f>
        <v>44.8</v>
      </c>
      <c r="G14" s="17" t="n">
        <f aca="false">Assumptions!$B$27</f>
        <v>44.8</v>
      </c>
      <c r="H14" s="17" t="n">
        <f aca="false">Assumptions!$B$27</f>
        <v>44.8</v>
      </c>
      <c r="I14" s="17" t="n">
        <f aca="false">Assumptions!$B$27</f>
        <v>44.8</v>
      </c>
      <c r="J14" s="17" t="n">
        <f aca="false">Assumptions!$B$27</f>
        <v>44.8</v>
      </c>
      <c r="K14" s="17" t="n">
        <f aca="false">Assumptions!$B$27</f>
        <v>44.8</v>
      </c>
      <c r="L14" s="17" t="n">
        <f aca="false">Assumptions!$B$27</f>
        <v>44.8</v>
      </c>
      <c r="M14" s="17" t="n">
        <f aca="false">Assumptions!$B$27</f>
        <v>44.8</v>
      </c>
      <c r="N14" s="17" t="n">
        <f aca="false">Assumptions!$B$27</f>
        <v>44.8</v>
      </c>
      <c r="O14" s="17" t="n">
        <f aca="false">Assumptions!$B$27</f>
        <v>44.8</v>
      </c>
      <c r="P14" s="17" t="n">
        <f aca="false">Assumptions!$B$27</f>
        <v>44.8</v>
      </c>
      <c r="Q14" s="17" t="n">
        <f aca="false">Assumptions!$B$27</f>
        <v>44.8</v>
      </c>
      <c r="R14" s="17" t="n">
        <f aca="false">Assumptions!$B$27</f>
        <v>44.8</v>
      </c>
      <c r="S14" s="17" t="n">
        <f aca="false">Assumptions!$B$27</f>
        <v>44.8</v>
      </c>
      <c r="T14" s="17" t="n">
        <f aca="false">Assumptions!$B$27</f>
        <v>44.8</v>
      </c>
      <c r="U14" s="17" t="n">
        <f aca="false">Assumptions!$B$27</f>
        <v>44.8</v>
      </c>
      <c r="V14" s="17" t="n">
        <f aca="false">Assumptions!$B$27</f>
        <v>44.8</v>
      </c>
      <c r="W14" s="17" t="n">
        <f aca="false">Assumptions!$B$27</f>
        <v>44.8</v>
      </c>
      <c r="X14" s="17" t="n">
        <f aca="false">Assumptions!$B$27</f>
        <v>44.8</v>
      </c>
      <c r="Y14" s="17" t="n">
        <f aca="false">Assumptions!$B$27</f>
        <v>44.8</v>
      </c>
    </row>
    <row r="15" customFormat="false" ht="15" hidden="false" customHeight="true" outlineLevel="0" collapsed="false">
      <c r="A15" s="10" t="s">
        <v>246</v>
      </c>
      <c r="C15" s="35" t="n">
        <f aca="false">C11+C12+C13+C14</f>
        <v>119.1963445125</v>
      </c>
      <c r="D15" s="35" t="n">
        <f aca="false">D11+D12+D13+D14</f>
        <v>97.2196461344937</v>
      </c>
      <c r="E15" s="35" t="n">
        <f aca="false">E11+E12+E13+E14</f>
        <v>99.5215930077556</v>
      </c>
      <c r="F15" s="35" t="n">
        <f aca="false">F11+F12+F13+F14</f>
        <v>103.255078982338</v>
      </c>
      <c r="G15" s="35" t="n">
        <f aca="false">G11+G12+G13+G14</f>
        <v>107.094112200374</v>
      </c>
      <c r="H15" s="35" t="n">
        <f aca="false">H11+H12+H13+H14</f>
        <v>105.770550789826</v>
      </c>
      <c r="I15" s="35" t="n">
        <f aca="false">I11+I12+I13+I14</f>
        <v>99.8970095500064</v>
      </c>
      <c r="J15" s="35" t="n">
        <f aca="false">J11+J12+J13+J14</f>
        <v>91.0093858572323</v>
      </c>
      <c r="K15" s="35" t="n">
        <f aca="false">K11+K12+K13+K14</f>
        <v>74.8</v>
      </c>
      <c r="L15" s="35" t="n">
        <f aca="false">L11+L12+L13+L14</f>
        <v>74.8</v>
      </c>
      <c r="M15" s="35" t="n">
        <f aca="false">M11+M12+M13+M14</f>
        <v>74.8</v>
      </c>
      <c r="N15" s="35" t="n">
        <f aca="false">N11+N12+N13+N14</f>
        <v>74.8</v>
      </c>
      <c r="O15" s="35" t="n">
        <f aca="false">O11+O12+O13+O14</f>
        <v>74.8</v>
      </c>
      <c r="P15" s="35" t="n">
        <f aca="false">P11+P12+P13+P14</f>
        <v>74.8</v>
      </c>
      <c r="Q15" s="35" t="n">
        <f aca="false">Q11+Q12+Q13+Q14</f>
        <v>74.8</v>
      </c>
      <c r="R15" s="35" t="n">
        <f aca="false">R11+R12+R13+R14</f>
        <v>74.8</v>
      </c>
      <c r="S15" s="35" t="n">
        <f aca="false">S11+S12+S13+S14</f>
        <v>74.8</v>
      </c>
      <c r="T15" s="35" t="n">
        <f aca="false">T11+T12+T13+T14</f>
        <v>74.8</v>
      </c>
      <c r="U15" s="35" t="n">
        <f aca="false">U11+U12+U13+U14</f>
        <v>74.8</v>
      </c>
      <c r="V15" s="35" t="n">
        <f aca="false">V11+V12+V13+V14</f>
        <v>74.8</v>
      </c>
      <c r="W15" s="35" t="n">
        <f aca="false">W11+W12+W13+W14</f>
        <v>74.8</v>
      </c>
      <c r="X15" s="35" t="n">
        <f aca="false">X11+X12+X13+X14</f>
        <v>74.8</v>
      </c>
      <c r="Y15" s="35" t="n">
        <f aca="false">Y11+Y12+Y13+Y14</f>
        <v>74.8</v>
      </c>
    </row>
    <row r="16" customFormat="false" ht="15" hidden="false" customHeight="true" outlineLevel="0" collapsed="false">
      <c r="A16" s="46" t="s">
        <v>247</v>
      </c>
      <c r="B16" s="9"/>
      <c r="C16" s="9"/>
      <c r="D16" s="9"/>
      <c r="E16" s="9"/>
      <c r="F16" s="9"/>
      <c r="G16" s="9"/>
      <c r="H16" s="9"/>
      <c r="I16" s="9"/>
      <c r="J16" s="9"/>
      <c r="K16" s="9"/>
      <c r="L16" s="9"/>
      <c r="M16" s="9"/>
      <c r="N16" s="9"/>
      <c r="O16" s="9"/>
      <c r="P16" s="9"/>
      <c r="Q16" s="9"/>
      <c r="R16" s="9"/>
      <c r="S16" s="9"/>
      <c r="T16" s="9"/>
      <c r="U16" s="9"/>
      <c r="V16" s="9"/>
      <c r="W16" s="9"/>
      <c r="X16" s="9"/>
      <c r="Y16" s="9"/>
    </row>
    <row r="17" customFormat="false" ht="15" hidden="false" customHeight="true" outlineLevel="0" collapsed="false">
      <c r="A17" s="12" t="s">
        <v>248</v>
      </c>
      <c r="C17" s="33" t="n">
        <f aca="false">Assumptions!$B$8+'Income Statement'!C18</f>
        <v>24.5733554875</v>
      </c>
      <c r="D17" s="33" t="n">
        <f aca="false">C17+'Income Statement'!D18</f>
        <v>35.8591538655062</v>
      </c>
      <c r="E17" s="33" t="n">
        <f aca="false">D17+'Income Statement'!E18</f>
        <v>52.2695069922444</v>
      </c>
      <c r="F17" s="33" t="n">
        <f aca="false">E17+'Income Statement'!F18</f>
        <v>75.3464210176624</v>
      </c>
      <c r="G17" s="33" t="n">
        <f aca="false">F17+'Income Statement'!G18</f>
        <v>105.021587799626</v>
      </c>
      <c r="H17" s="33" t="n">
        <f aca="false">G17+'Income Statement'!H18</f>
        <v>138.678549210174</v>
      </c>
      <c r="I17" s="33" t="n">
        <f aca="false">H17+'Income Statement'!I18</f>
        <v>172.436490449994</v>
      </c>
      <c r="J17" s="33" t="n">
        <f aca="false">I17+'Income Statement'!J18</f>
        <v>198.878614142768</v>
      </c>
      <c r="K17" s="33" t="n">
        <f aca="false">J17+'Income Statement'!K18</f>
        <v>227.363119178184</v>
      </c>
      <c r="L17" s="33" t="n">
        <f aca="false">K17+'Income Statement'!L18</f>
        <v>259.166595778184</v>
      </c>
      <c r="M17" s="33" t="n">
        <f aca="false">L17+'Income Statement'!M18</f>
        <v>290.731736240684</v>
      </c>
      <c r="N17" s="33" t="n">
        <f aca="false">M17+'Income Statement'!N18</f>
        <v>319.917139228184</v>
      </c>
      <c r="O17" s="33" t="n">
        <f aca="false">N17+'Income Statement'!O18</f>
        <v>348.042154665684</v>
      </c>
      <c r="P17" s="33" t="n">
        <f aca="false">O17+'Income Statement'!P18</f>
        <v>370.957959553184</v>
      </c>
      <c r="Q17" s="33" t="n">
        <f aca="false">P17+'Income Statement'!Q18</f>
        <v>388.267617878184</v>
      </c>
      <c r="R17" s="33" t="n">
        <f aca="false">Q17+'Income Statement'!R18</f>
        <v>399.186314265684</v>
      </c>
      <c r="S17" s="33" t="n">
        <f aca="false">R17+'Income Statement'!S18</f>
        <v>402.819389878184</v>
      </c>
      <c r="T17" s="33" t="n">
        <f aca="false">S17+'Income Statement'!T18</f>
        <v>402.819389878184</v>
      </c>
      <c r="U17" s="33" t="n">
        <f aca="false">T17+'Income Statement'!U18</f>
        <v>402.819389878184</v>
      </c>
      <c r="V17" s="33" t="n">
        <f aca="false">U17+'Income Statement'!V18</f>
        <v>402.819389878184</v>
      </c>
      <c r="W17" s="33" t="n">
        <f aca="false">V17+'Income Statement'!W18</f>
        <v>402.819389878184</v>
      </c>
      <c r="X17" s="33" t="n">
        <f aca="false">W17+'Income Statement'!X18</f>
        <v>402.819389878184</v>
      </c>
      <c r="Y17" s="33" t="n">
        <f aca="false">X17+'Income Statement'!Y18</f>
        <v>402.819389878184</v>
      </c>
    </row>
    <row r="18" customFormat="false" ht="15" hidden="false" customHeight="true" outlineLevel="0" collapsed="false">
      <c r="A18" s="10" t="s">
        <v>249</v>
      </c>
      <c r="C18" s="35" t="n">
        <f aca="false">C17</f>
        <v>24.5733554875</v>
      </c>
      <c r="D18" s="35" t="n">
        <f aca="false">D17</f>
        <v>35.8591538655062</v>
      </c>
      <c r="E18" s="35" t="n">
        <f aca="false">E17</f>
        <v>52.2695069922444</v>
      </c>
      <c r="F18" s="35" t="n">
        <f aca="false">F17</f>
        <v>75.3464210176624</v>
      </c>
      <c r="G18" s="35" t="n">
        <f aca="false">G17</f>
        <v>105.021587799626</v>
      </c>
      <c r="H18" s="35" t="n">
        <f aca="false">H17</f>
        <v>138.678549210174</v>
      </c>
      <c r="I18" s="35" t="n">
        <f aca="false">I17</f>
        <v>172.436490449994</v>
      </c>
      <c r="J18" s="35" t="n">
        <f aca="false">J17</f>
        <v>198.878614142768</v>
      </c>
      <c r="K18" s="35" t="n">
        <f aca="false">K17</f>
        <v>227.363119178184</v>
      </c>
      <c r="L18" s="35" t="n">
        <f aca="false">L17</f>
        <v>259.166595778184</v>
      </c>
      <c r="M18" s="35" t="n">
        <f aca="false">M17</f>
        <v>290.731736240684</v>
      </c>
      <c r="N18" s="35" t="n">
        <f aca="false">N17</f>
        <v>319.917139228184</v>
      </c>
      <c r="O18" s="35" t="n">
        <f aca="false">O17</f>
        <v>348.042154665684</v>
      </c>
      <c r="P18" s="35" t="n">
        <f aca="false">P17</f>
        <v>370.957959553184</v>
      </c>
      <c r="Q18" s="35" t="n">
        <f aca="false">Q17</f>
        <v>388.267617878184</v>
      </c>
      <c r="R18" s="35" t="n">
        <f aca="false">R17</f>
        <v>399.186314265684</v>
      </c>
      <c r="S18" s="35" t="n">
        <f aca="false">S17</f>
        <v>402.819389878184</v>
      </c>
      <c r="T18" s="35" t="n">
        <f aca="false">T17</f>
        <v>402.819389878184</v>
      </c>
      <c r="U18" s="35" t="n">
        <f aca="false">U17</f>
        <v>402.819389878184</v>
      </c>
      <c r="V18" s="35" t="n">
        <f aca="false">V17</f>
        <v>402.819389878184</v>
      </c>
      <c r="W18" s="35" t="n">
        <f aca="false">W17</f>
        <v>402.819389878184</v>
      </c>
      <c r="X18" s="35" t="n">
        <f aca="false">X17</f>
        <v>402.819389878184</v>
      </c>
      <c r="Y18" s="35" t="n">
        <f aca="false">Y17</f>
        <v>402.819389878184</v>
      </c>
    </row>
    <row r="19" customFormat="false" ht="15" hidden="false" customHeight="true" outlineLevel="0" collapsed="false">
      <c r="A19" s="10" t="s">
        <v>250</v>
      </c>
      <c r="C19" s="36" t="n">
        <f aca="false">C15+C18</f>
        <v>143.7697</v>
      </c>
      <c r="D19" s="36" t="n">
        <f aca="false">D15+D18</f>
        <v>133.0788</v>
      </c>
      <c r="E19" s="36" t="n">
        <f aca="false">E15+E18</f>
        <v>151.7911</v>
      </c>
      <c r="F19" s="36" t="n">
        <f aca="false">F15+F18</f>
        <v>178.6015</v>
      </c>
      <c r="G19" s="36" t="n">
        <f aca="false">G15+G18</f>
        <v>212.1157</v>
      </c>
      <c r="H19" s="36" t="n">
        <f aca="false">H15+H18</f>
        <v>244.4491</v>
      </c>
      <c r="I19" s="36" t="n">
        <f aca="false">I15+I18</f>
        <v>272.3335</v>
      </c>
      <c r="J19" s="36" t="n">
        <f aca="false">J15+J18</f>
        <v>289.888</v>
      </c>
      <c r="K19" s="36" t="n">
        <f aca="false">K15+K18</f>
        <v>302.163119178184</v>
      </c>
      <c r="L19" s="36" t="n">
        <f aca="false">L15+L18</f>
        <v>333.966595778184</v>
      </c>
      <c r="M19" s="36" t="n">
        <f aca="false">M15+M18</f>
        <v>365.531736240684</v>
      </c>
      <c r="N19" s="36" t="n">
        <f aca="false">N15+N18</f>
        <v>394.717139228184</v>
      </c>
      <c r="O19" s="36" t="n">
        <f aca="false">O15+O18</f>
        <v>422.842154665684</v>
      </c>
      <c r="P19" s="36" t="n">
        <f aca="false">P15+P18</f>
        <v>445.757959553184</v>
      </c>
      <c r="Q19" s="36" t="n">
        <f aca="false">Q15+Q18</f>
        <v>463.067617878184</v>
      </c>
      <c r="R19" s="36" t="n">
        <f aca="false">R15+R18</f>
        <v>473.986314265684</v>
      </c>
      <c r="S19" s="36" t="n">
        <f aca="false">S15+S18</f>
        <v>477.619389878184</v>
      </c>
      <c r="T19" s="36" t="n">
        <f aca="false">T15+T18</f>
        <v>477.619389878184</v>
      </c>
      <c r="U19" s="36" t="n">
        <f aca="false">U15+U18</f>
        <v>477.619389878184</v>
      </c>
      <c r="V19" s="36" t="n">
        <f aca="false">V15+V18</f>
        <v>477.619389878184</v>
      </c>
      <c r="W19" s="36" t="n">
        <f aca="false">W15+W18</f>
        <v>477.619389878184</v>
      </c>
      <c r="X19" s="36" t="n">
        <f aca="false">X15+X18</f>
        <v>477.619389878184</v>
      </c>
      <c r="Y19" s="36" t="n">
        <f aca="false">Y15+Y18</f>
        <v>477.619389878184</v>
      </c>
    </row>
    <row r="20" customFormat="false" ht="15" hidden="false" customHeight="true" outlineLevel="0" collapsed="false">
      <c r="A20" s="12" t="s">
        <v>232</v>
      </c>
      <c r="C20" s="45" t="n">
        <f aca="false">C9-C19</f>
        <v>0</v>
      </c>
      <c r="D20" s="45" t="n">
        <f aca="false">D9-D19</f>
        <v>0</v>
      </c>
      <c r="E20" s="45" t="n">
        <f aca="false">E9-E19</f>
        <v>0</v>
      </c>
      <c r="F20" s="45" t="n">
        <f aca="false">F9-F19</f>
        <v>0</v>
      </c>
      <c r="G20" s="45" t="n">
        <f aca="false">G9-G19</f>
        <v>0</v>
      </c>
      <c r="H20" s="45" t="n">
        <f aca="false">H9-H19</f>
        <v>0</v>
      </c>
      <c r="I20" s="45" t="n">
        <f aca="false">I9-I19</f>
        <v>0</v>
      </c>
      <c r="J20" s="45" t="n">
        <f aca="false">J9-J19</f>
        <v>0</v>
      </c>
      <c r="K20" s="45" t="n">
        <f aca="false">K9-K19</f>
        <v>0</v>
      </c>
      <c r="L20" s="45" t="n">
        <f aca="false">L9-L19</f>
        <v>0</v>
      </c>
      <c r="M20" s="45" t="n">
        <f aca="false">M9-M19</f>
        <v>0</v>
      </c>
      <c r="N20" s="45" t="n">
        <f aca="false">N9-N19</f>
        <v>0</v>
      </c>
      <c r="O20" s="45" t="n">
        <f aca="false">O9-O19</f>
        <v>0</v>
      </c>
      <c r="P20" s="45" t="n">
        <f aca="false">P9-P19</f>
        <v>0</v>
      </c>
      <c r="Q20" s="45" t="n">
        <f aca="false">Q9-Q19</f>
        <v>0</v>
      </c>
      <c r="R20" s="45" t="n">
        <f aca="false">R9-R19</f>
        <v>0</v>
      </c>
      <c r="S20" s="45" t="n">
        <f aca="false">S9-S19</f>
        <v>0</v>
      </c>
      <c r="T20" s="45" t="n">
        <f aca="false">T9-T19</f>
        <v>0</v>
      </c>
      <c r="U20" s="45" t="n">
        <f aca="false">U9-U19</f>
        <v>0</v>
      </c>
      <c r="V20" s="45" t="n">
        <f aca="false">V9-V19</f>
        <v>0</v>
      </c>
      <c r="W20" s="45" t="n">
        <f aca="false">W9-W19</f>
        <v>0</v>
      </c>
      <c r="X20" s="45" t="n">
        <f aca="false">X9-X19</f>
        <v>0</v>
      </c>
      <c r="Y20" s="45" t="n">
        <f aca="false">Y9-Y19</f>
        <v>0</v>
      </c>
    </row>
    <row r="21" customFormat="false" ht="15" hidden="false" customHeight="true" outlineLevel="0" collapsed="false">
      <c r="A21" s="42" t="s">
        <v>251</v>
      </c>
    </row>
    <row r="22" customFormat="false" ht="15" hidden="false" customHeight="true" outlineLevel="0" collapsed="false">
      <c r="A22" s="42" t="s">
        <v>252</v>
      </c>
      <c r="C22" s="45" t="n">
        <f aca="false">'Income Statement'!C4</f>
        <v>50.0421</v>
      </c>
      <c r="D22" s="45" t="n">
        <f aca="false">C22+'Income Statement'!D4</f>
        <v>118.1402</v>
      </c>
      <c r="E22" s="45" t="n">
        <f aca="false">D22+'Income Statement'!E4</f>
        <v>209.5241</v>
      </c>
      <c r="F22" s="45" t="n">
        <f aca="false">E22+'Income Statement'!F4</f>
        <v>327.4541</v>
      </c>
      <c r="G22" s="45" t="n">
        <f aca="false">F22+'Income Statement'!G4</f>
        <v>471.8677</v>
      </c>
      <c r="H22" s="45" t="n">
        <f aca="false">G22+'Income Statement'!H4</f>
        <v>625.8972</v>
      </c>
      <c r="I22" s="45" t="n">
        <f aca="false">H22+'Income Statement'!I4</f>
        <v>793.1766</v>
      </c>
      <c r="J22" s="45" t="n">
        <f aca="false">I22+'Income Statement'!J4</f>
        <v>933.9124</v>
      </c>
      <c r="K22" s="45" t="n">
        <f aca="false">J22+'Income Statement'!K4</f>
        <v>1085.7435</v>
      </c>
      <c r="L22" s="45" t="n">
        <f aca="false">K22+'Income Statement'!L4</f>
        <v>1231.3227</v>
      </c>
      <c r="M22" s="45" t="n">
        <f aca="false">L22+'Income Statement'!M4</f>
        <v>1374.217</v>
      </c>
      <c r="N22" s="45" t="n">
        <f aca="false">M22+'Income Statement'!N4</f>
        <v>1514.5791</v>
      </c>
      <c r="O22" s="45" t="n">
        <f aca="false">N22+'Income Statement'!O4</f>
        <v>1632.7056</v>
      </c>
      <c r="P22" s="45" t="n">
        <f aca="false">O22+'Income Statement'!P4</f>
        <v>1729.5605</v>
      </c>
      <c r="Q22" s="45" t="n">
        <f aca="false">P22+'Income Statement'!Q4</f>
        <v>1803.4379</v>
      </c>
      <c r="R22" s="45" t="n">
        <f aca="false">Q22+'Income Statement'!R4</f>
        <v>1851.1208</v>
      </c>
      <c r="S22" s="45" t="n">
        <f aca="false">R22+'Income Statement'!S4</f>
        <v>1868.9419</v>
      </c>
      <c r="T22" s="45" t="n">
        <f aca="false">S22+'Income Statement'!T4</f>
        <v>1868.9419</v>
      </c>
      <c r="U22" s="45" t="n">
        <f aca="false">T22+'Income Statement'!U4</f>
        <v>1868.9419</v>
      </c>
      <c r="V22" s="45" t="n">
        <f aca="false">U22+'Income Statement'!V4</f>
        <v>1868.9419</v>
      </c>
      <c r="W22" s="45" t="n">
        <f aca="false">V22+'Income Statement'!W4</f>
        <v>1868.9419</v>
      </c>
      <c r="X22" s="45" t="n">
        <f aca="false">W22+'Income Statement'!X4</f>
        <v>1868.9419</v>
      </c>
      <c r="Y22" s="45" t="n">
        <f aca="false">X22+'Income Statement'!Y4</f>
        <v>1868.9419</v>
      </c>
    </row>
    <row r="23" customFormat="false" ht="15" hidden="false" customHeight="true" outlineLevel="0" collapsed="false">
      <c r="A23" s="42" t="s">
        <v>253</v>
      </c>
      <c r="C23" s="45" t="n">
        <f aca="false">'Project Cash Flows'!C6</f>
        <v>33.0702</v>
      </c>
      <c r="D23" s="45" t="n">
        <f aca="false">C23+'Project Cash Flows'!D6</f>
        <v>75.7716</v>
      </c>
      <c r="E23" s="45" t="n">
        <f aca="false">D23+'Project Cash Flows'!E6</f>
        <v>130.1544</v>
      </c>
      <c r="F23" s="45" t="n">
        <f aca="false">E23+'Project Cash Flows'!F6</f>
        <v>197.0244</v>
      </c>
      <c r="G23" s="45" t="n">
        <f aca="false">F23+'Project Cash Flows'!G6</f>
        <v>277.3314</v>
      </c>
      <c r="H23" s="45" t="n">
        <f aca="false">G23+'Project Cash Flows'!H6</f>
        <v>366.0833</v>
      </c>
      <c r="I23" s="45" t="n">
        <f aca="false">H23+'Project Cash Flows'!I6</f>
        <v>468.588</v>
      </c>
      <c r="J23" s="45" t="n">
        <f aca="false">I23+'Project Cash Flows'!J6</f>
        <v>557.7988</v>
      </c>
      <c r="K23" s="45" t="n">
        <f aca="false">J23+'Project Cash Flows'!K6</f>
        <v>661.6852</v>
      </c>
      <c r="L23" s="45" t="n">
        <f aca="false">K23+'Project Cash Flows'!L6</f>
        <v>769.5725</v>
      </c>
      <c r="M23" s="45" t="n">
        <f aca="false">L23+'Project Cash Flows'!M6</f>
        <v>880.7596</v>
      </c>
      <c r="N23" s="45" t="n">
        <f aca="false">M23+'Project Cash Flows'!N6</f>
        <v>995.8296</v>
      </c>
      <c r="O23" s="45" t="n">
        <f aca="false">N23+'Project Cash Flows'!O6</f>
        <v>1106.7102</v>
      </c>
      <c r="P23" s="45" t="n">
        <f aca="false">O23+'Project Cash Flows'!P6</f>
        <v>1215.1474</v>
      </c>
      <c r="Q23" s="45" t="n">
        <f aca="false">P23+'Project Cash Flows'!Q6</f>
        <v>1316.9482</v>
      </c>
      <c r="R23" s="45" t="n">
        <f aca="false">Q23+'Project Cash Flows'!R6</f>
        <v>1416.0858</v>
      </c>
      <c r="S23" s="45" t="n">
        <f aca="false">R23+'Project Cash Flows'!S6</f>
        <v>1512.4846</v>
      </c>
      <c r="T23" s="45" t="n">
        <f aca="false">S23+'Project Cash Flows'!T6</f>
        <v>1602.3268</v>
      </c>
      <c r="U23" s="45" t="n">
        <f aca="false">T23+'Project Cash Flows'!U6</f>
        <v>1680.147</v>
      </c>
      <c r="V23" s="45" t="n">
        <f aca="false">U23+'Project Cash Flows'!V6</f>
        <v>1739.1872</v>
      </c>
      <c r="W23" s="45" t="n">
        <f aca="false">V23+'Project Cash Flows'!W6</f>
        <v>1776.818</v>
      </c>
      <c r="X23" s="45" t="n">
        <f aca="false">W23+'Project Cash Flows'!X6</f>
        <v>1790.0423</v>
      </c>
      <c r="Y23" s="45" t="n">
        <f aca="false">X23+'Project Cash Flows'!Y6</f>
        <v>1790.0423</v>
      </c>
    </row>
    <row r="24" customFormat="false" ht="15" hidden="false" customHeight="true" outlineLevel="0" collapsed="false">
      <c r="A24" s="42" t="s">
        <v>254</v>
      </c>
      <c r="C24" s="45" t="n">
        <f aca="false">Assumptions!$B$24+C22-C23</f>
        <v>-23.0281</v>
      </c>
      <c r="D24" s="45" t="n">
        <f aca="false">Assumptions!$B$24+D22-D23</f>
        <v>2.36859999999999</v>
      </c>
      <c r="E24" s="45" t="n">
        <f aca="false">Assumptions!$B$24+E22-E23</f>
        <v>39.3697</v>
      </c>
      <c r="F24" s="45" t="n">
        <f aca="false">Assumptions!$B$24+F22-F23</f>
        <v>90.4297</v>
      </c>
      <c r="G24" s="45" t="n">
        <f aca="false">Assumptions!$B$24+G22-G23</f>
        <v>154.5363</v>
      </c>
      <c r="H24" s="45" t="n">
        <f aca="false">Assumptions!$B$24+H22-H23</f>
        <v>219.8139</v>
      </c>
      <c r="I24" s="45" t="n">
        <f aca="false">Assumptions!$B$24+I22-I23</f>
        <v>284.5886</v>
      </c>
      <c r="J24" s="45" t="n">
        <f aca="false">Assumptions!$B$24+J22-J23</f>
        <v>336.1136</v>
      </c>
      <c r="K24" s="45" t="n">
        <f aca="false">Assumptions!$B$24+K22-K23</f>
        <v>384.0583</v>
      </c>
      <c r="L24" s="45" t="n">
        <f aca="false">Assumptions!$B$24+L22-L23</f>
        <v>421.7502</v>
      </c>
      <c r="M24" s="45" t="n">
        <f aca="false">Assumptions!$B$24+M22-M23</f>
        <v>453.4574</v>
      </c>
      <c r="N24" s="45" t="n">
        <f aca="false">Assumptions!$B$24+N22-N23</f>
        <v>478.7495</v>
      </c>
      <c r="O24" s="45" t="n">
        <f aca="false">Assumptions!$B$24+O22-O23</f>
        <v>485.9954</v>
      </c>
      <c r="P24" s="45" t="n">
        <f aca="false">Assumptions!$B$24+P22-P23</f>
        <v>474.4131</v>
      </c>
      <c r="Q24" s="45" t="n">
        <f aca="false">Assumptions!$B$24+Q22-Q23</f>
        <v>446.4897</v>
      </c>
      <c r="R24" s="45" t="n">
        <f aca="false">Assumptions!$B$24+R22-R23</f>
        <v>395.035</v>
      </c>
      <c r="S24" s="45" t="n">
        <f aca="false">Assumptions!$B$24+S22-S23</f>
        <v>316.4573</v>
      </c>
      <c r="T24" s="45" t="n">
        <f aca="false">Assumptions!$B$24+T22-T23</f>
        <v>226.6151</v>
      </c>
      <c r="U24" s="45" t="n">
        <f aca="false">Assumptions!$B$24+U22-U23</f>
        <v>148.7949</v>
      </c>
      <c r="V24" s="45" t="n">
        <f aca="false">Assumptions!$B$24+V22-V23</f>
        <v>89.7547000000004</v>
      </c>
      <c r="W24" s="45" t="n">
        <f aca="false">Assumptions!$B$24+W22-W23</f>
        <v>52.1239000000005</v>
      </c>
      <c r="X24" s="45" t="n">
        <f aca="false">Assumptions!$B$24+X22-X23</f>
        <v>38.8996000000004</v>
      </c>
      <c r="Y24" s="45" t="n">
        <f aca="false">Assumptions!$B$24+Y22-Y23</f>
        <v>38.8996000000004</v>
      </c>
    </row>
    <row r="25" customFormat="false" ht="15" hidden="false" customHeight="true" outlineLevel="0" collapsed="false">
      <c r="A25" s="42" t="s">
        <v>255</v>
      </c>
      <c r="C25" s="45" t="n">
        <f aca="false">Assumptions!$B$23+'Project Cash Flows'!C9+'Project Cash Flows'!C10-'Project Cash Flows'!C8</f>
        <v>70.7697</v>
      </c>
      <c r="D25" s="45" t="n">
        <f aca="false">C25+'Project Cash Flows'!D9+'Project Cash Flows'!D10-'Project Cash Flows'!D8</f>
        <v>57.7102</v>
      </c>
      <c r="E25" s="45" t="n">
        <f aca="false">D25+'Project Cash Flows'!E9+'Project Cash Flows'!E10-'Project Cash Flows'!E8</f>
        <v>39.4214</v>
      </c>
      <c r="F25" s="45" t="n">
        <f aca="false">E25+'Project Cash Flows'!F9+'Project Cash Flows'!F10-'Project Cash Flows'!F8</f>
        <v>15.1718</v>
      </c>
      <c r="G25" s="45" t="n">
        <f aca="false">F25+'Project Cash Flows'!G9+'Project Cash Flows'!G10-'Project Cash Flows'!G8</f>
        <v>-15.4206</v>
      </c>
      <c r="H25" s="45" t="n">
        <f aca="false">G25+'Project Cash Flows'!H9+'Project Cash Flows'!H10-'Project Cash Flows'!H8</f>
        <v>-48.3648</v>
      </c>
      <c r="I25" s="45" t="n">
        <f aca="false">H25+'Project Cash Flows'!I9+'Project Cash Flows'!I10-'Project Cash Flows'!I8</f>
        <v>-85.2551</v>
      </c>
      <c r="J25" s="45" t="n">
        <f aca="false">I25+'Project Cash Flows'!J9+'Project Cash Flows'!J10-'Project Cash Flows'!J8</f>
        <v>-119.2256</v>
      </c>
      <c r="K25" s="45" t="n">
        <f aca="false">J25+'Project Cash Flows'!K9+'Project Cash Flows'!K10-'Project Cash Flows'!K8</f>
        <v>-157.1714</v>
      </c>
      <c r="L25" s="45" t="n">
        <f aca="false">K25+'Project Cash Flows'!L9+'Project Cash Flows'!L10-'Project Cash Flows'!L8</f>
        <v>-194.9715</v>
      </c>
      <c r="M25" s="45" t="n">
        <f aca="false">L25+'Project Cash Flows'!M9+'Project Cash Flows'!M10-'Project Cash Flows'!M8</f>
        <v>-232.8054</v>
      </c>
      <c r="N25" s="45" t="n">
        <f aca="false">M25+'Project Cash Flows'!N9+'Project Cash Flows'!N10-'Project Cash Flows'!N8</f>
        <v>-270.7783</v>
      </c>
      <c r="O25" s="45" t="n">
        <f aca="false">N25+'Project Cash Flows'!O9+'Project Cash Flows'!O10-'Project Cash Flows'!O8</f>
        <v>-303.2043</v>
      </c>
      <c r="P25" s="45" t="n">
        <f aca="false">O25+'Project Cash Flows'!P9+'Project Cash Flows'!P10-'Project Cash Flows'!P8</f>
        <v>-329.9624</v>
      </c>
      <c r="Q25" s="45" t="n">
        <f aca="false">P25+'Project Cash Flows'!Q9+'Project Cash Flows'!Q10-'Project Cash Flows'!Q8</f>
        <v>-350.5101</v>
      </c>
      <c r="R25" s="45" t="n">
        <f aca="false">Q25+'Project Cash Flows'!R9+'Project Cash Flows'!R10-'Project Cash Flows'!R8</f>
        <v>-363.9778</v>
      </c>
      <c r="S25" s="45" t="n">
        <f aca="false">R25+'Project Cash Flows'!S9+'Project Cash Flows'!S10-'Project Cash Flows'!S8</f>
        <v>-369.374</v>
      </c>
      <c r="T25" s="45" t="n">
        <f aca="false">S25+'Project Cash Flows'!T9+'Project Cash Flows'!T10-'Project Cash Flows'!T8</f>
        <v>-369.374</v>
      </c>
      <c r="U25" s="45" t="n">
        <f aca="false">T25+'Project Cash Flows'!U9+'Project Cash Flows'!U10-'Project Cash Flows'!U8</f>
        <v>-369.374</v>
      </c>
      <c r="V25" s="45" t="n">
        <f aca="false">U25+'Project Cash Flows'!V9+'Project Cash Flows'!V10-'Project Cash Flows'!V8</f>
        <v>-369.374</v>
      </c>
      <c r="W25" s="45" t="n">
        <f aca="false">V25+'Project Cash Flows'!W9+'Project Cash Flows'!W10-'Project Cash Flows'!W8</f>
        <v>-369.374</v>
      </c>
      <c r="X25" s="45" t="n">
        <f aca="false">W25+'Project Cash Flows'!X9+'Project Cash Flows'!X10-'Project Cash Flows'!X8</f>
        <v>-369.374</v>
      </c>
      <c r="Y25" s="45" t="n">
        <f aca="false">X25+'Project Cash Flows'!Y9+'Project Cash Flows'!Y10-'Project Cash Flows'!Y8</f>
        <v>-369.374</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2026-06-09T11:05:21Z</dcterms:created>
  <dc:creator/>
  <dc:description/>
  <dc:language>en-US</dc:language>
  <cp:lastModifiedBy/>
  <dcterms:modified xsi:type="dcterms:W3CDTF">2026-06-10T16:20:21Z</dcterms:modified>
  <cp:revision>0</cp:revision>
  <dc:subject/>
  <dc:title>PHDC Valuation Model — Educational Analysis</dc:title>
</cp:coreProperties>
</file>

<file path=docProps/custom.xml><?xml version="1.0" encoding="utf-8"?>
<Properties xmlns="http://schemas.openxmlformats.org/officeDocument/2006/custom-properties" xmlns:vt="http://schemas.openxmlformats.org/officeDocument/2006/docPropsVTypes"/>
</file>