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FIRST" sheetId="1" state="visible" r:id="rId3"/>
    <sheet name="Summary" sheetId="2" state="visible" r:id="rId4"/>
    <sheet name="Fundamental Valuation" sheetId="3" state="visible" r:id="rId5"/>
    <sheet name="Assumptions" sheetId="4" state="visible" r:id="rId6"/>
    <sheet name="Project Economics" sheetId="5" state="visible" r:id="rId7"/>
    <sheet name="Project Cash Flows" sheetId="6" state="visible" r:id="rId8"/>
    <sheet name="Income Statement" sheetId="7" state="visible" r:id="rId9"/>
    <sheet name="Debt Schedule" sheetId="8" state="visible" r:id="rId10"/>
    <sheet name="Cash Flow Statement" sheetId="9" state="visible" r:id="rId11"/>
    <sheet name="Balance Sheet" sheetId="10" state="visible" r:id="rId12"/>
    <sheet name="Segments" sheetId="11" state="visible" r:id="rId13"/>
    <sheet name="Valuation" sheetId="12" state="visible" r:id="rId14"/>
    <sheet name="Monte Carlo" sheetId="13" state="visible" r:id="rId15"/>
    <sheet name="Sensitivity" sheetId="14" state="visible" r:id="rId1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<sst xmlns="http://schemas.openxmlformats.org/spreadsheetml/2006/main" count="846" uniqueCount="469">
  <si>
    <t xml:space="preserve">READ FIRST — DISCLOSURE &amp; DISCLAIMER · EMAAR MISR (EMFD) VALUATION MODEL (EDUCATIONAL)</t>
  </si>
  <si>
    <t xml:space="preserve">NATURE OF THIS WORKBOOK</t>
  </si>
  <si>
    <t xml:space="preserve">This workbook is an educational valuation model and an expression of the preparer’s personal analytical opinion, built exclusively from publicly available information and explicit, stated assumptions. It is published free of charge, on a standing periodic schedule, to demonstrate methodology and to invite scrutiny of that methodology.</t>
  </si>
  <si>
    <t xml:space="preserve">NO ADVICE, NO RECOMMENDATION, NO SOLICITATION</t>
  </si>
  <si>
    <t xml:space="preserve">Nothing in this workbook constitutes investment advice, financial consultancy, securities analysis services, a research recommendation, a rating, a price target, an offer, or a solicitation to buy, sell, hold or deal in any security. No statement here is directed at the objectives, financial situation or needs of any person.</t>
  </si>
  <si>
    <t xml:space="preserve">NO LICENSED ACTIVITY</t>
  </si>
  <si>
    <t xml:space="preserve">The preparer is not licensed or registered with the Egyptian Financial Regulatory Authority (FRA) or any other securities regulator; does not carry on financial consultancy, securities evaluation/analysis, portfolio management, brokerage or promotion; does not manage money; and accepts no clients, fees, subscriptions or funds.</t>
  </si>
  <si>
    <t xml:space="preserve">PUBLICATION INDEPENDENCE</t>
  </si>
  <si>
    <t xml:space="preserve">This workbook was prepared and published independently, on a pre-set schedule, and is not intended to and must not be used to influence the market price of any security.</t>
  </si>
  <si>
    <t xml:space="preserve">ESTIMATES AND UNCERTAINTY</t>
  </si>
  <si>
    <t xml:space="preserve">All values are model outputs resting on explicit, subjective assumptions; they are illustrative, highly uncertain, and likely to prove wrong in material respects. They are presented as ranges and distributions because no single number should be relied on. Vendor-sourced data are flagged where used and are not guaranteed.</t>
  </si>
  <si>
    <t xml:space="preserve">NO LIABILITY</t>
  </si>
  <si>
    <t xml:space="preserve">To the maximum extent permitted by applicable law, the preparer accepts no liability whatsoever for any decision made or action taken or not taken, or for any loss or damage incurred, by any person in reliance on or in connection with any part of this workbook.</t>
  </si>
  <si>
    <t xml:space="preserve">READER’S RESPONSIBILITY</t>
  </si>
  <si>
    <t xml:space="preserve">Any person considering an investment decision should conduct their own independent assessment and consult a financial advisor licensed in their jurisdiction. If publication of material of this kind is restricted where you are reading it, do not rely on it.</t>
  </si>
  <si>
    <t xml:space="preserve">HOW TO USE THIS MODEL</t>
  </si>
  <si>
    <t xml:space="preserve">Blue cells are hardcoded inputs you can overwrite (assumptions and market-calibrated estimates). Black cells are same-sheet formulas; green cells link across sheets. Change a blue cell and the statements, valuation and Monte Carlo update. Anchor price and technical inputs are taken from the attached EMFD price history (19 Jun 2025 - 17 Jun 2026). Project-level inputs are DERIVED estimates calibrated to EMFD's disclosed totals plus market comparables (no project-level disclosure exists) - flagged for review.</t>
  </si>
  <si>
    <t xml:space="preserve">EMAAR MISR FOR DEVELOPMENT (EGX:EMFD) - CLEAN-SHEET BOTTOM-UP VALUATION</t>
  </si>
  <si>
    <t xml:space="preserve">Independent build: project-by-project unit economics → SOTP/RNAV, consolidated DCF, relative multiples — four lenses synthesised (see Fundamental Valuation). No external target embedded; project inputs derived &amp; flagged.</t>
  </si>
  <si>
    <t xml:space="preserve">HEADLINE — VALUE PER SHARE (EGP)</t>
  </si>
  <si>
    <t xml:space="preserve">Gross (full execution, SOTP bridge)</t>
  </si>
  <si>
    <t xml:space="preserve">Risk-adjusted (execution-weighted, SOTP bridge)</t>
  </si>
  <si>
    <t xml:space="preserve">Memo: current market price (17-Jun-26)</t>
  </si>
  <si>
    <t xml:space="preserve">Implied vs market — gross / risk-adj</t>
  </si>
  <si>
    <t xml:space="preserve">Four-method synthesis — central fundamental value</t>
  </si>
  <si>
    <t xml:space="preserve">WHAT THE NUMBER RESTS ON (edit on Assumptions)</t>
  </si>
  <si>
    <t xml:space="preserve">WACC (nominal EGP) — biggest lever</t>
  </si>
  <si>
    <t xml:space="preserve">Down-payment / collection speed</t>
  </si>
  <si>
    <t xml:space="preserve">Sales-price escalation p.a.</t>
  </si>
  <si>
    <t xml:space="preserve">Net cash - group (EGP bn); parent share 98%</t>
  </si>
  <si>
    <t xml:space="preserve">Minority interest haircut (negligible; wholly-owned subs)</t>
  </si>
  <si>
    <t xml:space="preserve">Life revenue / net income (EGP bn)</t>
  </si>
  <si>
    <t xml:space="preserve">METHODOLOGY</t>
  </si>
  <si>
    <t xml:space="preserve">-  Diversified developer: 8 development projects (Marassi, Mivida, Uptown Cairo, Cairo Gate, Belle Vie, Soul, Marassi Red Sea JV, landbank) + sold backlog; hotels and recurring income valued as separate segments.</t>
  </si>
  <si>
    <t xml:space="preserve">-  Each project is the UNSOLD remainder only - already-sold units sit in the EGP 110bn backlog, so nothing is double-counted.</t>
  </si>
  <si>
    <t xml:space="preserve">-  Each project = units x price/m2 and m2 x construction-cost/m2; owned land is sunk (book cost in COGS, no future cash); the Marassi Red Sea JV carries partner land at EMFD's economic share.</t>
  </si>
  <si>
    <t xml:space="preserve">-  Hospitality (Marassi hotels - Address, Vida, Al Alamein) and recurring income (Marassi retail/marina, Uptown commercial) valued on EBITDA x multiple, OUTSIDE the development cash-flow engine.</t>
  </si>
  <si>
    <t xml:space="preserve">-  EMFD is in a large NET CASH position (~EGP 34.7bn), so the equity bridge ADDS cash; minority is negligible (subsidiaries effectively wholly owned post-Albro).</t>
  </si>
  <si>
    <t xml:space="preserve">-  Statements tie: IS -&gt; Debt -&gt; CF -&gt; Balance Sheet (check = 0). Gross = unlevered FCFF + TV + segments + net cash; execution probabilities give the risk-adjusted figure.</t>
  </si>
  <si>
    <t xml:space="preserve">-  Estimates calibrated to disclosed FY25/Q1-26 totals (revenue 19.8bn, inventory 76.4bn, contract liabilities 60.3bn, net cash 34.7bn); ALL project, segment and backlog splits are DERIVED estimates (vendor/comps), flagged blue for review.</t>
  </si>
  <si>
    <t xml:space="preserve">FUNDAMENTAL VALUATION — FOUR METHODS &amp; SYNTHESIS</t>
  </si>
  <si>
    <t xml:space="preserve">Developers are valued on assets and cash, not a multi-decade balance sheet: SOTP/RNAV (primary) + consolidated DCF + relative multiples, then synthesised.  EGP/share unless noted.</t>
  </si>
  <si>
    <t xml:space="preserve">THE FOUR METHODS — value per share &amp; synthesis weight</t>
  </si>
  <si>
    <t xml:space="preserve">Fundamental method</t>
  </si>
  <si>
    <t xml:space="preserve">EGP/sh</t>
  </si>
  <si>
    <t xml:space="preserve">vs spot</t>
  </si>
  <si>
    <t xml:space="preserve">Weight</t>
  </si>
  <si>
    <t xml:space="preserve">Method 1 — SOTP / RNAV (risk-adjusted)</t>
  </si>
  <si>
    <t xml:space="preserve">primary lens for a developer</t>
  </si>
  <si>
    <t xml:space="preserve">Method 2 — Consolidated DCF (FCFF, full exec.)</t>
  </si>
  <si>
    <t xml:space="preserve">whole-company cross-check</t>
  </si>
  <si>
    <t xml:space="preserve">Method 1b — SOTP / RNAV (full execution)</t>
  </si>
  <si>
    <t xml:space="preserve">ceiling if all pipeline delivers</t>
  </si>
  <si>
    <t xml:space="preserve">Method 3 — Relative multiples (blended)</t>
  </si>
  <si>
    <t xml:space="preserve">market-reality check (detail below)</t>
  </si>
  <si>
    <t xml:space="preserve">WEIGHTED CENTRAL FUNDAMENTAL VALUE</t>
  </si>
  <si>
    <t xml:space="preserve">intrinsic-weighted; the range matters more than the point</t>
  </si>
  <si>
    <t xml:space="preserve">Memo: market price (17-Jun-26), EGP</t>
  </si>
  <si>
    <t xml:space="preserve">METHOD 3 DETAIL — relative multiples &amp; discount-to-NAV</t>
  </si>
  <si>
    <t xml:space="preserve">Lens</t>
  </si>
  <si>
    <t xml:space="preserve">EMFD now</t>
  </si>
  <si>
    <t xml:space="preserve">Fair low</t>
  </si>
  <si>
    <t xml:space="preserve">Fair high</t>
  </si>
  <si>
    <t xml:space="preserve">Implied low</t>
  </si>
  <si>
    <t xml:space="preserve">Implied high</t>
  </si>
  <si>
    <t xml:space="preserve">Price / book (BVPS≈EGP 12.17)</t>
  </si>
  <si>
    <t xml:space="preserve">Price / earnings (norm. EPS ~1.15)</t>
  </si>
  <si>
    <t xml:space="preserve">EV / backlog (≈EGP 110bn)</t>
  </si>
  <si>
    <t xml:space="preserve">Discount to RNAV (vs gross / risk-adj)</t>
  </si>
  <si>
    <t xml:space="preserve">37–47%</t>
  </si>
  <si>
    <t xml:space="preserve">Relative blended midpoint (Method 3)</t>
  </si>
  <si>
    <t xml:space="preserve">FUNDAMENTAL RANGE &amp; MARKET CONTEXT</t>
  </si>
  <si>
    <t xml:space="preserve">Bear / defensible floor (pipeline &amp; terminal = 0)</t>
  </si>
  <si>
    <t xml:space="preserve">net cash + backlog + segments, risk-weighted</t>
  </si>
  <si>
    <t xml:space="preserve">Central — weighted synthesis</t>
  </si>
  <si>
    <t xml:space="preserve">the study's single representative figure</t>
  </si>
  <si>
    <t xml:space="preserve">Full execution — SOTP ceiling</t>
  </si>
  <si>
    <t xml:space="preserve">all pipeline, segments, terminal deliver</t>
  </si>
  <si>
    <t xml:space="preserve">Market price (spot)</t>
  </si>
  <si>
    <t xml:space="preserve">17-Jun-26 close</t>
  </si>
  <si>
    <t xml:space="preserve">Spot discount to risk-adj NAV / gross NAV</t>
  </si>
  <si>
    <t xml:space="preserve">← wide even by EM-developer norms; market ascribes ≈0 to unlaunched pipeline</t>
  </si>
  <si>
    <t xml:space="preserve">Method: international practice values developers on RNAV/SOTP (primary) with DCF and trading multiples as cross-checks and a discount-to-NAV; the business is valued on assets and cash, not a long-dated accrual balance sheet. All project, segment and backlog inputs are DERIVED estimates (blue on Assumptions), not company disclosure.</t>
  </si>
  <si>
    <t xml:space="preserve">EMAAR MISR FOR DEVELOPMENT (EGX:EMFD) - BOTTOM-UP VALUATION MODEL</t>
  </si>
  <si>
    <t xml:space="preserve">All blue cells are inputs. Clean-sheet build; no external price target embedded. EGP unless noted. Project-level inputs are DERIVED estimates (no disclosure exists) calibrated to disclosed totals + market comps.</t>
  </si>
  <si>
    <t xml:space="preserve">GLOBAL &amp; CORPORATE ASSUMPTIONS</t>
  </si>
  <si>
    <t xml:space="preserve">Shares outstanding (bn)</t>
  </si>
  <si>
    <t xml:space="preserve">Net cash (+) / net debt (-) (EGP bn)</t>
  </si>
  <si>
    <t xml:space="preserve">Gross debt — opening (EGP bn)</t>
  </si>
  <si>
    <t xml:space="preserve">Cash — opening (EGP bn)</t>
  </si>
  <si>
    <t xml:space="preserve">Book equity — opening, incl. minority (EGP bn)</t>
  </si>
  <si>
    <t xml:space="preserve">Total assets — opening (EGP bn)</t>
  </si>
  <si>
    <t xml:space="preserve">WACC (nominal EGP)</t>
  </si>
  <si>
    <t xml:space="preserve">Tax rate</t>
  </si>
  <si>
    <t xml:space="preserve">Cost of debt</t>
  </si>
  <si>
    <t xml:space="preserve">Down-payment at contract</t>
  </si>
  <si>
    <t xml:space="preserve">Collected during build (share)</t>
  </si>
  <si>
    <t xml:space="preserve">Installment tenor (yrs)</t>
  </si>
  <si>
    <t xml:space="preserve">Post-handover tail (yrs)</t>
  </si>
  <si>
    <t xml:space="preserve">Corporate overhead (% revenue)</t>
  </si>
  <si>
    <t xml:space="preserve">D&amp;A (% revenue)</t>
  </si>
  <si>
    <t xml:space="preserve">Minimum cash (EGP bn)</t>
  </si>
  <si>
    <t xml:space="preserve">Terminal value growth (g)</t>
  </si>
  <si>
    <t xml:space="preserve">Normalized terminal FCFF (EGP bn)</t>
  </si>
  <si>
    <t xml:space="preserve">Opening inventory: land+WIP (EGP bn) [FY25]</t>
  </si>
  <si>
    <t xml:space="preserve">Opening net contract position (EGP bn) [net advance]</t>
  </si>
  <si>
    <t xml:space="preserve">Opening other assets (EGP bn)</t>
  </si>
  <si>
    <t xml:space="preserve">Opening payables (EGP bn)</t>
  </si>
  <si>
    <t xml:space="preserve">Opening other liabilities (plug, ties BS)</t>
  </si>
  <si>
    <t xml:space="preserve">Minority - hotels (negligible; EMFD-owned)</t>
  </si>
  <si>
    <t xml:space="preserve">Minority - backlog (wholly owned)</t>
  </si>
  <si>
    <t xml:space="preserve">Net cash - parent-level share</t>
  </si>
  <si>
    <t xml:space="preserve">SEGMENTS (valued separately: EBITDA × multiple)</t>
  </si>
  <si>
    <t xml:space="preserve">Hospitality EBITDA (EGP bn) [Marassi hotels]</t>
  </si>
  <si>
    <t xml:space="preserve">Hospitality EV/EBITDA (x)</t>
  </si>
  <si>
    <t xml:space="preserve">Hospitality execution prob</t>
  </si>
  <si>
    <t xml:space="preserve">Recurring EBITDA (EGP bn) [retail/marina/commercial]</t>
  </si>
  <si>
    <t xml:space="preserve">Recurring EV/EBITDA (x)</t>
  </si>
  <si>
    <t xml:space="preserve">Recurring execution prob</t>
  </si>
  <si>
    <t xml:space="preserve">Terminal-value execution weight</t>
  </si>
  <si>
    <t xml:space="preserve">PER-PROJECT STRUCTURAL ASSUMPTIONS (DERIVED - flagged)</t>
  </si>
  <si>
    <t xml:space="preserve">Project</t>
  </si>
  <si>
    <t xml:space="preserve">Location</t>
  </si>
  <si>
    <t xml:space="preserve">Land (mn m2)</t>
  </si>
  <si>
    <t xml:space="preserve">Buildable %</t>
  </si>
  <si>
    <t xml:space="preserve">Land EGP/m2</t>
  </si>
  <si>
    <t xml:space="preserve">SG&amp;A %</t>
  </si>
  <si>
    <t xml:space="preserve">EMFD share %</t>
  </si>
  <si>
    <t xml:space="preserve">Launch</t>
  </si>
  <si>
    <t xml:space="preserve">Sell yrs</t>
  </si>
  <si>
    <t xml:space="preserve">Build yrs</t>
  </si>
  <si>
    <t xml:space="preserve">Exec prob</t>
  </si>
  <si>
    <t xml:space="preserve">Sold %</t>
  </si>
  <si>
    <t xml:space="preserve">Marassi (North Coast)</t>
  </si>
  <si>
    <t xml:space="preserve">Sidi Abdel Rahman, North Coast</t>
  </si>
  <si>
    <t xml:space="preserve">Mivida (New Cairo)</t>
  </si>
  <si>
    <t xml:space="preserve">New Cairo</t>
  </si>
  <si>
    <t xml:space="preserve">Uptown Cairo (Mokattam)</t>
  </si>
  <si>
    <t xml:space="preserve">Mokattam</t>
  </si>
  <si>
    <t xml:space="preserve">Cairo Gate (Sheikh Zayed)</t>
  </si>
  <si>
    <t xml:space="preserve">Sheikh Zayed</t>
  </si>
  <si>
    <t xml:space="preserve">Belle Vie (New Zayed)</t>
  </si>
  <si>
    <t xml:space="preserve">New Zayed</t>
  </si>
  <si>
    <t xml:space="preserve">Soul (North Coast)</t>
  </si>
  <si>
    <t xml:space="preserve">Dabaa, North Coast</t>
  </si>
  <si>
    <t xml:space="preserve">Marassi Red Sea (JV)</t>
  </si>
  <si>
    <t xml:space="preserve">Red Sea coastal (JV)</t>
  </si>
  <si>
    <t xml:space="preserve">Landbank / other</t>
  </si>
  <si>
    <t xml:space="preserve">Mixed Egypt</t>
  </si>
  <si>
    <t xml:space="preserve">BACKLOG (units sold, not yet delivered) - DERIVED</t>
  </si>
  <si>
    <t xml:space="preserve">Contracted value (EGP bn)</t>
  </si>
  <si>
    <t xml:space="preserve">Gross margin</t>
  </si>
  <si>
    <t xml:space="preserve">% still to collect</t>
  </si>
  <si>
    <t xml:space="preserve">Delivery period (yrs)</t>
  </si>
  <si>
    <t xml:space="preserve">Build period (yrs)</t>
  </si>
  <si>
    <t xml:space="preserve">Remaining construction cash %</t>
  </si>
  <si>
    <t xml:space="preserve">Execution prob</t>
  </si>
  <si>
    <t xml:space="preserve">PER-PROJECT UNIT MIX &amp; PRICING (current 2026 prices - DERIVED)</t>
  </si>
  <si>
    <t xml:space="preserve">Unit type</t>
  </si>
  <si>
    <t xml:space="preserve">BUA share %</t>
  </si>
  <si>
    <t xml:space="preserve">Avg area (m2)</t>
  </si>
  <si>
    <t xml:space="preserve">Price EGP/m2</t>
  </si>
  <si>
    <t xml:space="preserve">Constr cost EGP/m2</t>
  </si>
  <si>
    <t xml:space="preserve">Chalet</t>
  </si>
  <si>
    <t xml:space="preserve">Townhouse</t>
  </si>
  <si>
    <t xml:space="preserve">Villa</t>
  </si>
  <si>
    <t xml:space="preserve">Apartment</t>
  </si>
  <si>
    <t xml:space="preserve">Townhouse/Twin</t>
  </si>
  <si>
    <t xml:space="preserve">PROJECT ECONOMICS - BOTTOM-UP (units x price ; m2 x cost/m2)</t>
  </si>
  <si>
    <t xml:space="preserve">Live formulas off Assumptions. EMFD economic share applied to value, construction and land. Unsold remainder only.</t>
  </si>
  <si>
    <t xml:space="preserve">Marassi (North Coast)  -  Sidi Abdel Rahman</t>
  </si>
  <si>
    <t xml:space="preserve"># Units</t>
  </si>
  <si>
    <t xml:space="preserve">Avg area m2</t>
  </si>
  <si>
    <t xml:space="preserve">Sellable m2</t>
  </si>
  <si>
    <t xml:space="preserve">Gross value EGPbn</t>
  </si>
  <si>
    <t xml:space="preserve">Constr EGP/m2</t>
  </si>
  <si>
    <t xml:space="preserve">Constr cost EGPbn</t>
  </si>
  <si>
    <t xml:space="preserve">Subtotal (100% of unsold)</t>
  </si>
  <si>
    <t xml:space="preserve">Land (unsold portion)</t>
  </si>
  <si>
    <t xml:space="preserve">EMFD economic share</t>
  </si>
  <si>
    <t xml:space="preserve">EMFD revenue (GDV)</t>
  </si>
  <si>
    <t xml:space="preserve">EMFD constr</t>
  </si>
  <si>
    <t xml:space="preserve">EMFD land cost</t>
  </si>
  <si>
    <t xml:space="preserve">EMFD gross profit</t>
  </si>
  <si>
    <t xml:space="preserve">margin</t>
  </si>
  <si>
    <t xml:space="preserve">Mivida (New Cairo)  -  New Cairo</t>
  </si>
  <si>
    <t xml:space="preserve">Uptown Cairo (Mokattam)  -  Mokattam</t>
  </si>
  <si>
    <t xml:space="preserve">Cairo Gate (Sheikh Zayed)  -  Sheikh Zayed</t>
  </si>
  <si>
    <t xml:space="preserve">Belle Vie (New Zayed)  -  New Zayed</t>
  </si>
  <si>
    <t xml:space="preserve">Soul (North Coast)  -  Dabaa</t>
  </si>
  <si>
    <t xml:space="preserve">Landbank / other  -  Mixed Egypt</t>
  </si>
  <si>
    <t xml:space="preserve">PROJECT CASH FLOWS - annual, EGP bn (EMFD share)</t>
  </si>
  <si>
    <t xml:space="preserve">Phased by the model engine from Assumptions (sales escalate; collections = down + instalments; revenue over build). Per-project blocks are engine output; consolidated totals are live sums.</t>
  </si>
  <si>
    <t xml:space="preserve">CONSOLIDATED TOTALS (EGP bn)</t>
  </si>
  <si>
    <t xml:space="preserve">EGP bn</t>
  </si>
  <si>
    <t xml:space="preserve">New sales</t>
  </si>
  <si>
    <t xml:space="preserve">Collections</t>
  </si>
  <si>
    <t xml:space="preserve">Revenue recognized</t>
  </si>
  <si>
    <t xml:space="preserve">COGS</t>
  </si>
  <si>
    <t xml:space="preserve">Construction cash</t>
  </si>
  <si>
    <t xml:space="preserve">Land cash</t>
  </si>
  <si>
    <t xml:space="preserve">SG&amp;A</t>
  </si>
  <si>
    <t xml:space="preserve">Per-project detail (engine output; edit Assumptions then re-run engine to refresh):</t>
  </si>
  <si>
    <t xml:space="preserve">Backlog (sold, not delivered)</t>
  </si>
  <si>
    <t xml:space="preserve">CONSOLIDATED INCOME STATEMENT — EGP bn</t>
  </si>
  <si>
    <t xml:space="preserve">POC revenue recognition; interest on opening gross debt; tax on positive PBT.</t>
  </si>
  <si>
    <t xml:space="preserve">2026</t>
  </si>
  <si>
    <t xml:space="preserve">2027</t>
  </si>
  <si>
    <t xml:space="preserve">2028</t>
  </si>
  <si>
    <t xml:space="preserve">2029</t>
  </si>
  <si>
    <t xml:space="preserve">2030</t>
  </si>
  <si>
    <t xml:space="preserve">2031</t>
  </si>
  <si>
    <t xml:space="preserve">2032</t>
  </si>
  <si>
    <t xml:space="preserve">2033</t>
  </si>
  <si>
    <t xml:space="preserve">2034</t>
  </si>
  <si>
    <t xml:space="preserve">2035</t>
  </si>
  <si>
    <t xml:space="preserve">2036</t>
  </si>
  <si>
    <t xml:space="preserve">2037</t>
  </si>
  <si>
    <t xml:space="preserve">2038</t>
  </si>
  <si>
    <t xml:space="preserve">2039</t>
  </si>
  <si>
    <t xml:space="preserve">2040</t>
  </si>
  <si>
    <t xml:space="preserve">2041</t>
  </si>
  <si>
    <t xml:space="preserve">2042</t>
  </si>
  <si>
    <t xml:space="preserve">2043</t>
  </si>
  <si>
    <t xml:space="preserve">2044</t>
  </si>
  <si>
    <t xml:space="preserve">2045</t>
  </si>
  <si>
    <t xml:space="preserve">2046</t>
  </si>
  <si>
    <t xml:space="preserve">2047</t>
  </si>
  <si>
    <t xml:space="preserve">2048</t>
  </si>
  <si>
    <t xml:space="preserve">Revenue</t>
  </si>
  <si>
    <t xml:space="preserve">Gross profit</t>
  </si>
  <si>
    <t xml:space="preserve">  gross margin</t>
  </si>
  <si>
    <t xml:space="preserve">Corporate overhead</t>
  </si>
  <si>
    <t xml:space="preserve">EBITDA</t>
  </si>
  <si>
    <t xml:space="preserve">  EBITDA margin</t>
  </si>
  <si>
    <t xml:space="preserve">D&amp;A</t>
  </si>
  <si>
    <t xml:space="preserve">EBIT</t>
  </si>
  <si>
    <t xml:space="preserve">  EBIT margin</t>
  </si>
  <si>
    <t xml:space="preserve">Interest expense</t>
  </si>
  <si>
    <t xml:space="preserve">Profit before tax</t>
  </si>
  <si>
    <t xml:space="preserve">Tax</t>
  </si>
  <si>
    <t xml:space="preserve">Net income</t>
  </si>
  <si>
    <t xml:space="preserve">  net margin</t>
  </si>
  <si>
    <t xml:space="preserve">REPORTED ACTUALS — CONSOLIDATED INCOME STATEMENT (EGP bn; vendor-sourced S&amp;P CIQ/EGX; verify vs audited)</t>
  </si>
  <si>
    <t xml:space="preserve">FY2023</t>
  </si>
  <si>
    <t xml:space="preserve">FY2024</t>
  </si>
  <si>
    <t xml:space="preserve">FY2025</t>
  </si>
  <si>
    <t xml:space="preserve">Cost of revenue</t>
  </si>
  <si>
    <t xml:space="preserve">Other operating income / (expense), net</t>
  </si>
  <si>
    <t xml:space="preserve">Net interest &amp; investment income</t>
  </si>
  <si>
    <t xml:space="preserve">FX gains / (losses) &amp; other, net</t>
  </si>
  <si>
    <t xml:space="preserve">  attributable to parent</t>
  </si>
  <si>
    <t xml:space="preserve">EPS (EGP)</t>
  </si>
  <si>
    <t xml:space="preserve">DEBT &amp; INTEREST SCHEDULE — EGP bn</t>
  </si>
  <si>
    <t xml:space="preserve">Revolver funds cash deficits to a minimum-cash floor; interest on opening balance (no circularity).</t>
  </si>
  <si>
    <t xml:space="preserve">Beginning debt</t>
  </si>
  <si>
    <t xml:space="preserve">Construction</t>
  </si>
  <si>
    <t xml:space="preserve">Land</t>
  </si>
  <si>
    <t xml:space="preserve">Capex</t>
  </si>
  <si>
    <t xml:space="preserve">Tax paid</t>
  </si>
  <si>
    <t xml:space="preserve">Interest paid</t>
  </si>
  <si>
    <t xml:space="preserve">Pre-financing cash flow</t>
  </si>
  <si>
    <t xml:space="preserve">Beginning cash</t>
  </si>
  <si>
    <t xml:space="preserve">Cash before financing</t>
  </si>
  <si>
    <t xml:space="preserve">Draw / (repay)</t>
  </si>
  <si>
    <t xml:space="preserve">Ending debt</t>
  </si>
  <si>
    <t xml:space="preserve">Ending cash</t>
  </si>
  <si>
    <t xml:space="preserve">CONSOLIDATED CASH FLOW STATEMENT — EGP bn</t>
  </si>
  <si>
    <t xml:space="preserve">Cash basis; ties to Debt Schedule and Balance Sheet.</t>
  </si>
  <si>
    <t xml:space="preserve">Collections from customers</t>
  </si>
  <si>
    <t xml:space="preserve">Construction spend</t>
  </si>
  <si>
    <t xml:space="preserve">Land spend</t>
  </si>
  <si>
    <t xml:space="preserve">Cash flow from operations</t>
  </si>
  <si>
    <t xml:space="preserve">Cash flow from investing</t>
  </si>
  <si>
    <t xml:space="preserve">Debt draw / (repay)</t>
  </si>
  <si>
    <t xml:space="preserve">Cash flow from financing</t>
  </si>
  <si>
    <t xml:space="preserve">Net change in cash</t>
  </si>
  <si>
    <t xml:space="preserve">Balance check (=0)</t>
  </si>
  <si>
    <t xml:space="preserve">REPORTED ACTUALS — CONSOLIDATED CASH FLOW (EGP bn; vendor-sourced; verify vs audited)</t>
  </si>
  <si>
    <t xml:space="preserve">Operating cash flow</t>
  </si>
  <si>
    <t xml:space="preserve">Investing cash flow (incl. capex)</t>
  </si>
  <si>
    <t xml:space="preserve">Financing cash flow</t>
  </si>
  <si>
    <t xml:space="preserve">FX &amp; other adjustments</t>
  </si>
  <si>
    <t xml:space="preserve">Memo — Capex</t>
  </si>
  <si>
    <t xml:space="preserve">Memo — Free cash flow (OCF + capex)</t>
  </si>
  <si>
    <t xml:space="preserve">CONSOLIDATED BALANCE SHEET — EGP bn</t>
  </si>
  <si>
    <t xml:space="preserve">Opening composition calibrated to disclosed FY2025; forecast shown over the near-term horizon (2026–2030). Consistent with developer-valuation practice, a multi-decade accrual balance sheet is not projected — the valuation rests on project cash flows and asset values (see Fundamental Valuation).</t>
  </si>
  <si>
    <t xml:space="preserve">ASSETS</t>
  </si>
  <si>
    <t xml:space="preserve">Cash</t>
  </si>
  <si>
    <t xml:space="preserve">Trade &amp; instalment receivables</t>
  </si>
  <si>
    <t xml:space="preserve">Inventory (land + WIP)</t>
  </si>
  <si>
    <t xml:space="preserve">Other assets (hotels PP&amp;E, investments)</t>
  </si>
  <si>
    <t xml:space="preserve">Total assets</t>
  </si>
  <si>
    <t xml:space="preserve">LIABILITIES</t>
  </si>
  <si>
    <t xml:space="preserve">Debt</t>
  </si>
  <si>
    <t xml:space="preserve">Customer advances (deferred rev)</t>
  </si>
  <si>
    <t xml:space="preserve">Payables</t>
  </si>
  <si>
    <t xml:space="preserve">Other liabilities (incl. contract liab.)</t>
  </si>
  <si>
    <t xml:space="preserve">Total liabilities</t>
  </si>
  <si>
    <t xml:space="preserve">EQUITY</t>
  </si>
  <si>
    <t xml:space="preserve">Share capital + retained earnings</t>
  </si>
  <si>
    <t xml:space="preserve">Total equity</t>
  </si>
  <si>
    <t xml:space="preserve">Total liabilities &amp; equity</t>
  </si>
  <si>
    <t xml:space="preserve">(helper calculations)</t>
  </si>
  <si>
    <t xml:space="preserve">_cumRev</t>
  </si>
  <si>
    <t xml:space="preserve">_cumColl</t>
  </si>
  <si>
    <t xml:space="preserve">_NetContract</t>
  </si>
  <si>
    <t xml:space="preserve">_Inventory</t>
  </si>
  <si>
    <t xml:space="preserve">REPORTED ACTUALS — CONSOLIDATED BALANCE SHEET (EGP bn; vendor-sourced; verify vs audited)</t>
  </si>
  <si>
    <t xml:space="preserve">Cash &amp; equivalents</t>
  </si>
  <si>
    <t xml:space="preserve">Short-term investments</t>
  </si>
  <si>
    <t xml:space="preserve">Receivables</t>
  </si>
  <si>
    <t xml:space="preserve">Inventory (development properties)</t>
  </si>
  <si>
    <t xml:space="preserve">Other current assets (incl. due from related parties)</t>
  </si>
  <si>
    <t xml:space="preserve">Total current assets</t>
  </si>
  <si>
    <t xml:space="preserve">PP&amp;E</t>
  </si>
  <si>
    <t xml:space="preserve">Other non-current assets (inv. property, associates, intangibles)</t>
  </si>
  <si>
    <t xml:space="preserve">Customer advances / contract liabilities</t>
  </si>
  <si>
    <t xml:space="preserve">Current debt</t>
  </si>
  <si>
    <t xml:space="preserve">Long-term debt</t>
  </si>
  <si>
    <t xml:space="preserve">Payables, accruals &amp; other liabilities</t>
  </si>
  <si>
    <t xml:space="preserve">Memo — Book value / share (EGP)</t>
  </si>
  <si>
    <t xml:space="preserve">OPERATING SEGMENTS - HOSPITALITY vs RECURRING INCOME</t>
  </si>
  <si>
    <t xml:space="preserve">The two non-development businesses. Revenue x EBITDA margin DRIVES EBITDA, which feeds the valuation via Assumptions. Blue = input (revenue, margin, multiple, execution); black = computed; this sheet is the single source of truth for the segments.</t>
  </si>
  <si>
    <t xml:space="preserve">Metric (EGP bn unless noted)</t>
  </si>
  <si>
    <t xml:space="preserve">Hospitality</t>
  </si>
  <si>
    <t xml:space="preserve">Recurring</t>
  </si>
  <si>
    <t xml:space="preserve">Combined</t>
  </si>
  <si>
    <t xml:space="preserve">Revenue (FY est.)</t>
  </si>
  <si>
    <t xml:space="preserve">EBITDA margin</t>
  </si>
  <si>
    <t xml:space="preserve">EBITDA  (= revenue × margin)</t>
  </si>
  <si>
    <t xml:space="preserve">Capitalization multiple (×)</t>
  </si>
  <si>
    <t xml:space="preserve">EV — gross  (= EBITDA × mult)</t>
  </si>
  <si>
    <t xml:space="preserve">Execution probability</t>
  </si>
  <si>
    <t xml:space="preserve">Risk-adjusted EV</t>
  </si>
  <si>
    <t xml:space="preserve">Per share — gross (EGP)</t>
  </si>
  <si>
    <t xml:space="preserve">Per share — risk-adj (EGP)</t>
  </si>
  <si>
    <t xml:space="preserve">THE KEY DISTINCTION</t>
  </si>
  <si>
    <t xml:space="preserve">Dimension</t>
  </si>
  <si>
    <t xml:space="preserve">What it is</t>
  </si>
  <si>
    <t xml:space="preserve">Marassi hotels - Address Marassi, Address Beach Resort, Vida Marina, Al Alamein (owned; Emaar Hospitality-managed)</t>
  </si>
  <si>
    <t xml:space="preserve">Marassi retail/marina (Mporium), Uptown Cairo commercial (Emaar Square) (mostly EGP)</t>
  </si>
  <si>
    <t xml:space="preserve">Revenue driver</t>
  </si>
  <si>
    <t xml:space="preserve">Room nights × ADR + F&amp;B + events</t>
  </si>
  <si>
    <t xml:space="preserve">Rents + tuition + memberships + fees</t>
  </si>
  <si>
    <t xml:space="preserve">Cyclicality</t>
  </si>
  <si>
    <t xml:space="preserve">High — tourism, FX, seasonal</t>
  </si>
  <si>
    <t xml:space="preserve">Low — contractual, sticky</t>
  </si>
  <si>
    <t xml:space="preserve">Currency</t>
  </si>
  <si>
    <t xml:space="preserve">Partly USD</t>
  </si>
  <si>
    <t xml:space="preserve">Mostly EGP</t>
  </si>
  <si>
    <t xml:space="preserve">Why the multiple</t>
  </si>
  <si>
    <t xml:space="preserve">6.5× — lower, for cyclicality</t>
  </si>
  <si>
    <t xml:space="preserve">7.5× — higher, an annuity premium</t>
  </si>
  <si>
    <t xml:space="preserve">Minority is negligible - EMFD's operating subsidiaries are effectively wholly owned post-Albro; the Marassi Red Sea JV is already carried at EMFD economic share in the development bridge.</t>
  </si>
  <si>
    <t xml:space="preserve">Backlog minority: none (wholly owned).</t>
  </si>
  <si>
    <t xml:space="preserve">VALUATION - CLEAN-SHEET FCFF DCF + SOTP BRIDGE</t>
  </si>
  <si>
    <t xml:space="preserve">Unlevered FCFF discounted at WACC, plus separately-valued segments, net cash and a minority-interest deduction. Flex WACC (Assumptions) to re-price.</t>
  </si>
  <si>
    <t xml:space="preserve">Unlevered FCFF</t>
  </si>
  <si>
    <t xml:space="preserve">Discount factor @ WACC</t>
  </si>
  <si>
    <t xml:space="preserve">PV of FCFF</t>
  </si>
  <si>
    <t xml:space="preserve">PV of explicit FCFF (Σ)</t>
  </si>
  <si>
    <t xml:space="preserve">(+) Terminal value (5% g, Gordon)</t>
  </si>
  <si>
    <t xml:space="preserve">Development EV (consolidated DCF) — cross-check</t>
  </si>
  <si>
    <t xml:space="preserve">(+) Hospitality segment EV  (see Segments)</t>
  </si>
  <si>
    <t xml:space="preserve">(+) Recurring-income segment EV  (see Segments)</t>
  </si>
  <si>
    <t xml:space="preserve">Operating enterprise value</t>
  </si>
  <si>
    <t xml:space="preserve">(–) Minority — negligible (cross-check)</t>
  </si>
  <si>
    <t xml:space="preserve">(+) Net cash × parent share</t>
  </si>
  <si>
    <t xml:space="preserve">Equity value — GROSS, consolidated DCF (cross-check)</t>
  </si>
  <si>
    <t xml:space="preserve">VALUE/SHARE — consolidated DCF (cross-check)</t>
  </si>
  <si>
    <t xml:space="preserve">PER-PROJECT VALUE BRIDGE  (base WACC; applies execution probability)</t>
  </si>
  <si>
    <t xml:space="preserve">Component</t>
  </si>
  <si>
    <t xml:space="preserve">EV /share (EGP)</t>
  </si>
  <si>
    <t xml:space="preserve">Risk-adj /share (EGP)</t>
  </si>
  <si>
    <t xml:space="preserve">Backlog</t>
  </si>
  <si>
    <t xml:space="preserve">Terminal value (5% g)</t>
  </si>
  <si>
    <t xml:space="preserve">Hospitality segment  (see Segments)</t>
  </si>
  <si>
    <t xml:space="preserve">Recurring-income segment  (see Segments)</t>
  </si>
  <si>
    <t xml:space="preserve">Operating EV /share (sum)</t>
  </si>
  <si>
    <t xml:space="preserve">(–) Minority — negligible (wholly-owned)</t>
  </si>
  <si>
    <t xml:space="preserve">(+) Net cash x parent share /share</t>
  </si>
  <si>
    <t xml:space="preserve">EQUITY /share - SOTP bridge (gross / risk-adj)</t>
  </si>
  <si>
    <t xml:space="preserve">&lt; gross / risk-adj</t>
  </si>
  <si>
    <t xml:space="preserve">MONTE CARLO - ONE 10-FACTOR MACRO MODEL</t>
  </si>
  <si>
    <t xml:space="preserve">Five continuous factors compound daily; five discrete event factors fire once on a random session. 50,000 paths . seed 42 . anchor 17 Jun 2026. Factors adapted to EMFD (net cash, Marassi Red Sea/land, North Coast season).</t>
  </si>
  <si>
    <t xml:space="preserve">CORE INPUTS</t>
  </si>
  <si>
    <t xml:space="preserve">Anchor price (EGP, 17 Jun 2026 close)</t>
  </si>
  <si>
    <t xml:space="preserve">Horizon T+20 (sessions)</t>
  </si>
  <si>
    <t xml:space="preserve">Horizon T+60 (sessions)</t>
  </si>
  <si>
    <t xml:space="preserve">Idiosyncratic 3M volatility</t>
  </si>
  <si>
    <t xml:space="preserve">Reference level - support (EGP)</t>
  </si>
  <si>
    <t xml:space="preserve">Round / R2 (EGP)</t>
  </si>
  <si>
    <t xml:space="preserve">Upper fair-value zone (EGP)</t>
  </si>
  <si>
    <t xml:space="preserve">Structure-break level (EGP)</t>
  </si>
  <si>
    <t xml:space="preserve">Bear-construction boundary (EGP)</t>
  </si>
  <si>
    <t xml:space="preserve">TEN EXTERNAL FACTORS — CALIBRATION (3-month)</t>
  </si>
  <si>
    <t xml:space="preserve">Factor</t>
  </si>
  <si>
    <t xml:space="preserve">Type</t>
  </si>
  <si>
    <t xml:space="preserve">3M drift</t>
  </si>
  <si>
    <t xml:space="preserve">3M vol</t>
  </si>
  <si>
    <t xml:space="preserve">Event prob</t>
  </si>
  <si>
    <t xml:space="preserve">Impact mean</t>
  </si>
  <si>
    <t xml:space="preserve">Impact sd</t>
  </si>
  <si>
    <t xml:space="preserve">Channel</t>
  </si>
  <si>
    <t xml:space="preserve">1  CBE policy rate path</t>
  </si>
  <si>
    <t xml:space="preserve">continuous</t>
  </si>
  <si>
    <t xml:space="preserve">-</t>
  </si>
  <si>
    <t xml:space="preserve">discounting, softened by interest income on net cash</t>
  </si>
  <si>
    <t xml:space="preserve">2  EGP/USD rate</t>
  </si>
  <si>
    <t xml:space="preserve">FX translation; USD hotel revenue + imported inputs</t>
  </si>
  <si>
    <t xml:space="preserve">3  Inflation (CPI)</t>
  </si>
  <si>
    <t xml:space="preserve">real-asset hedge bid, construction costs</t>
  </si>
  <si>
    <t xml:space="preserve">4  EGX30 &amp; foreign flows</t>
  </si>
  <si>
    <t xml:space="preserve">market beta, liquidity</t>
  </si>
  <si>
    <t xml:space="preserve">5  Brent / Gulf liquidity</t>
  </si>
  <si>
    <t xml:space="preserve">GCC buyer purchasing power; North Coast</t>
  </si>
  <si>
    <t xml:space="preserve">6  Geopolitical / regional security</t>
  </si>
  <si>
    <t xml:space="preserve">event</t>
  </si>
  <si>
    <t xml:space="preserve">risk-premium shock</t>
  </si>
  <si>
    <t xml:space="preserve">7  Marassi Red Sea / land monetization</t>
  </si>
  <si>
    <t xml:space="preserve">Marassi Red Sea / strategic land monetization</t>
  </si>
  <si>
    <t xml:space="preserve">8  Project launch &amp; sales execution</t>
  </si>
  <si>
    <t xml:space="preserve">Marassi/Mivida/Belle Vie launches - the catalyst</t>
  </si>
  <si>
    <t xml:space="preserve">9  North Coast / coastal demand season</t>
  </si>
  <si>
    <t xml:space="preserve">North Coast / coastal season - a material lever for EMFD</t>
  </si>
  <si>
    <t xml:space="preserve">10  Mortgage finance &amp; credit</t>
  </si>
  <si>
    <t xml:space="preserve">affordability, velocity</t>
  </si>
  <si>
    <t xml:space="preserve">FACTOR MOMENTS (live formulas)</t>
  </si>
  <si>
    <t xml:space="preserve">Expected 3M log-return  mu_3M</t>
  </si>
  <si>
    <t xml:space="preserve">3M variance (continuous + idio + events)</t>
  </si>
  <si>
    <t xml:space="preserve">3M volatility  sigma_3M</t>
  </si>
  <si>
    <t xml:space="preserve">Annualized volatility (x sqrt4)</t>
  </si>
  <si>
    <t xml:space="preserve">engine: 42.3% ann path vol; CSV realized ~36%</t>
  </si>
  <si>
    <t xml:space="preserve">PERCENTILES (EGP/share) — LIVE lognormal + ENGINE (simulated)</t>
  </si>
  <si>
    <t xml:space="preserve">Horizon</t>
  </si>
  <si>
    <t xml:space="preserve">5%</t>
  </si>
  <si>
    <t xml:space="preserve">25%</t>
  </si>
  <si>
    <t xml:space="preserve">Median</t>
  </si>
  <si>
    <t xml:space="preserve">75%</t>
  </si>
  <si>
    <t xml:space="preserve">95%</t>
  </si>
  <si>
    <t xml:space="preserve">Source</t>
  </si>
  <si>
    <t xml:space="preserve">T+20 — live (closed form)</t>
  </si>
  <si>
    <t xml:space="preserve">T+20 — engine (simulated)</t>
  </si>
  <si>
    <t xml:space="preserve">50k paths · seed 42 · 17 Jun 2026</t>
  </si>
  <si>
    <t xml:space="preserve">T+60 — live (closed form)</t>
  </si>
  <si>
    <t xml:space="preserve">T+60 — engine (simulated)</t>
  </si>
  <si>
    <t xml:space="preserve">Reconciliation — live vs engine T+60 median</t>
  </si>
  <si>
    <t xml:space="preserve">PROBABILITY ZONES at T+60</t>
  </si>
  <si>
    <t xml:space="preserve">live</t>
  </si>
  <si>
    <t xml:space="preserve">engine</t>
  </si>
  <si>
    <t xml:space="preserve">P(below support 11.4)</t>
  </si>
  <si>
    <t xml:space="preserve">P(support - R2 13.0)</t>
  </si>
  <si>
    <t xml:space="preserve">P(R2 - upper FV 15.0)</t>
  </si>
  <si>
    <t xml:space="preserve">P(&gt;= upper FV 15.0)</t>
  </si>
  <si>
    <t xml:space="preserve">LEVEL-TOUCH PROBABILITIES — P(touch level within horizon)</t>
  </si>
  <si>
    <t xml:space="preserve">Price level (EGP)</t>
  </si>
  <si>
    <t xml:space="preserve">by T+20</t>
  </si>
  <si>
    <t xml:space="preserve">by T+60</t>
  </si>
  <si>
    <t xml:space="preserve">Downside touch 10.6</t>
  </si>
  <si>
    <t xml:space="preserve">Downside touch 9.8</t>
  </si>
  <si>
    <t xml:space="preserve">Touch probabilities are simulation outputs (running path extrema), not closed-form; they exceed terminal-zone probabilities because a path may touch a level intra-horizon and retrace.</t>
  </si>
  <si>
    <t xml:space="preserve">SENSITIVITY - value per share, GROSS (EGP)</t>
  </si>
  <si>
    <t xml:space="preserve">Computed by the model engine across the two dominant levers. Source: bottom-up engine, base case in Assumptions.</t>
  </si>
  <si>
    <t xml:space="preserve">WACC  ×  Down-payment at contract</t>
  </si>
  <si>
    <t xml:space="preserve">Down-payment →</t>
  </si>
  <si>
    <t xml:space="preserve">WACC ↓</t>
  </si>
  <si>
    <t xml:space="preserve">WACC  ×  Selling-price level (×)</t>
  </si>
  <si>
    <t xml:space="preserve">Price level →</t>
  </si>
</sst>
</file>

<file path=xl/styles.xml><?xml version="1.0" encoding="utf-8"?>
<styleSheet xmlns="http://schemas.openxmlformats.org/spreadsheetml/2006/main">
  <numFmts count="16">
    <numFmt numFmtId="164" formatCode="General"/>
    <numFmt numFmtId="165" formatCode="0.00"/>
    <numFmt numFmtId="166" formatCode="#,##0.00;\(#,##0.00\);\-"/>
    <numFmt numFmtId="167" formatCode="0.0%"/>
    <numFmt numFmtId="168" formatCode="0%"/>
    <numFmt numFmtId="169" formatCode="#,##0.0;\(#,##0.0\);\-"/>
    <numFmt numFmtId="170" formatCode="0.00\×"/>
    <numFmt numFmtId="171" formatCode="#,##0;\(#,##0\);\-"/>
    <numFmt numFmtId="172" formatCode="0.0"/>
    <numFmt numFmtId="173" formatCode="0"/>
    <numFmt numFmtId="174" formatCode="@"/>
    <numFmt numFmtId="175" formatCode="#,##0"/>
    <numFmt numFmtId="176" formatCode="#,##0.0"/>
    <numFmt numFmtId="177" formatCode="0.00%"/>
    <numFmt numFmtId="178" formatCode="0.000"/>
    <numFmt numFmtId="179" formatCode="0.0000"/>
  </numFmts>
  <fonts count="26">
    <font>
      <sz val="11"/>
      <color theme="1"/>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0"/>
      <name val="Arial"/>
      <family val="0"/>
      <charset val="1"/>
    </font>
    <font>
      <b val="true"/>
      <sz val="11"/>
      <color rgb="FF1B5E5E"/>
      <name val="Arial"/>
      <family val="0"/>
      <charset val="1"/>
    </font>
    <font>
      <b val="true"/>
      <sz val="10"/>
      <name val="Arial"/>
      <family val="0"/>
      <charset val="1"/>
    </font>
    <font>
      <sz val="9"/>
      <color rgb="FF000000"/>
      <name val="Arial"/>
      <family val="0"/>
      <charset val="1"/>
    </font>
    <font>
      <b val="true"/>
      <sz val="13"/>
      <color rgb="FFFFFFFF"/>
      <name val="Arial"/>
      <family val="0"/>
      <charset val="1"/>
    </font>
    <font>
      <b val="true"/>
      <sz val="10"/>
      <color rgb="FFFFFFFF"/>
      <name val="Arial"/>
      <family val="0"/>
      <charset val="1"/>
    </font>
    <font>
      <b val="true"/>
      <sz val="9"/>
      <color rgb="FF000000"/>
      <name val="Arial"/>
      <family val="0"/>
      <charset val="1"/>
    </font>
    <font>
      <b val="true"/>
      <sz val="10"/>
      <color rgb="FF000000"/>
      <name val="Arial"/>
      <family val="0"/>
      <charset val="1"/>
    </font>
    <font>
      <sz val="8"/>
      <color rgb="FFFFFFFF"/>
      <name val="Arial"/>
      <family val="0"/>
      <charset val="1"/>
    </font>
    <font>
      <b val="true"/>
      <sz val="9"/>
      <color rgb="FFFFFFFF"/>
      <name val="Arial"/>
      <family val="0"/>
      <charset val="1"/>
    </font>
    <font>
      <i val="true"/>
      <sz val="8"/>
      <color rgb="FF6B6B6B"/>
      <name val="Arial"/>
      <family val="0"/>
      <charset val="1"/>
    </font>
    <font>
      <b val="true"/>
      <i val="true"/>
      <sz val="8"/>
      <color rgb="FFFFFFFF"/>
      <name val="Arial"/>
      <family val="0"/>
      <charset val="1"/>
    </font>
    <font>
      <sz val="8"/>
      <color rgb="FF000000"/>
      <name val="Arial"/>
      <family val="0"/>
      <charset val="1"/>
    </font>
    <font>
      <sz val="9"/>
      <color rgb="FF0000FF"/>
      <name val="Arial"/>
      <family val="0"/>
      <charset val="1"/>
    </font>
    <font>
      <sz val="10"/>
      <color rgb="FF1F4E79"/>
      <name val="Arial"/>
      <family val="0"/>
      <charset val="1"/>
    </font>
    <font>
      <sz val="9"/>
      <color rgb="FF008000"/>
      <name val="Arial"/>
      <family val="0"/>
      <charset val="1"/>
    </font>
    <font>
      <i val="true"/>
      <sz val="8"/>
      <color rgb="FFFFFFFF"/>
      <name val="Arial"/>
      <family val="0"/>
      <charset val="1"/>
    </font>
    <font>
      <sz val="11"/>
      <name val="Cambria"/>
      <family val="0"/>
      <charset val="1"/>
    </font>
    <font>
      <i val="true"/>
      <sz val="8"/>
      <color rgb="FF000000"/>
      <name val="Arial"/>
      <family val="0"/>
      <charset val="1"/>
    </font>
    <font>
      <i val="true"/>
      <sz val="8"/>
      <color rgb="FF555555"/>
      <name val="Arial"/>
      <family val="0"/>
      <charset val="1"/>
    </font>
    <font>
      <i val="true"/>
      <sz val="9"/>
      <color rgb="FF6B6B6B"/>
      <name val="Arial"/>
      <family val="0"/>
      <charset val="1"/>
    </font>
  </fonts>
  <fills count="7">
    <fill>
      <patternFill patternType="none"/>
    </fill>
    <fill>
      <patternFill patternType="gray125"/>
    </fill>
    <fill>
      <patternFill patternType="solid">
        <fgColor rgb="FF1B5E5E"/>
        <bgColor rgb="FF1F4E79"/>
      </patternFill>
    </fill>
    <fill>
      <patternFill patternType="solid">
        <fgColor rgb="FF2A8F8F"/>
        <bgColor rgb="FF008080"/>
      </patternFill>
    </fill>
    <fill>
      <patternFill patternType="solid">
        <fgColor rgb="FFE6F0F0"/>
        <bgColor rgb="FFDDEBF7"/>
      </patternFill>
    </fill>
    <fill>
      <patternFill patternType="solid">
        <fgColor rgb="FFFBFBE7"/>
        <bgColor rgb="FFFFFFFF"/>
      </patternFill>
    </fill>
    <fill>
      <patternFill patternType="solid">
        <fgColor rgb="FFDDEBF7"/>
        <bgColor rgb="FFE6F0F0"/>
      </patternFill>
    </fill>
  </fills>
  <borders count="3">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style="thin">
        <color rgb="FFBFD4D4"/>
      </left>
      <right style="thin">
        <color rgb="FFBFD4D4"/>
      </right>
      <top style="thin">
        <color rgb="FFBFD4D4"/>
      </top>
      <bottom style="thin">
        <color rgb="FFBFD4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8" fillId="2" borderId="0" xfId="0" applyFont="true" applyBorder="false" applyAlignment="true" applyProtection="false">
      <alignment horizontal="general" vertical="center" textRotation="0" wrapText="true" indent="0" shrinkToFit="false"/>
      <protection locked="true" hidden="false"/>
    </xf>
    <xf numFmtId="164" fontId="10" fillId="3"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5" fontId="7" fillId="4" borderId="0" xfId="0" applyFont="true" applyBorder="false" applyAlignment="true" applyProtection="false">
      <alignment horizontal="general" vertical="bottom" textRotation="0" wrapText="false" indent="0" shrinkToFit="false"/>
      <protection locked="true" hidden="false"/>
    </xf>
    <xf numFmtId="166" fontId="11" fillId="4" borderId="0" xfId="0" applyFont="true" applyBorder="false" applyAlignment="true" applyProtection="false">
      <alignment horizontal="general" vertical="bottom" textRotation="0" wrapText="false" indent="0" shrinkToFit="false"/>
      <protection locked="true" hidden="false"/>
    </xf>
    <xf numFmtId="165" fontId="12" fillId="5" borderId="0" xfId="0" applyFont="true" applyBorder="false" applyAlignment="true" applyProtection="false">
      <alignment horizontal="general" vertical="bottom" textRotation="0" wrapText="false" indent="0" shrinkToFit="false"/>
      <protection locked="true" hidden="false"/>
    </xf>
    <xf numFmtId="167" fontId="8"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8" fontId="8" fillId="0" borderId="0" xfId="0" applyFont="true" applyBorder="false" applyAlignment="false" applyProtection="false">
      <alignment horizontal="general" vertical="bottom" textRotation="0" wrapText="false" indent="0" shrinkToFit="false"/>
      <protection locked="true" hidden="false"/>
    </xf>
    <xf numFmtId="169" fontId="8" fillId="0" borderId="0" xfId="0" applyFont="true" applyBorder="false" applyAlignment="true" applyProtection="false">
      <alignment horizontal="general" vertical="bottom" textRotation="0" wrapText="false" indent="0" shrinkToFit="false"/>
      <protection locked="true" hidden="false"/>
    </xf>
    <xf numFmtId="164" fontId="9"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3" fillId="2" borderId="0" xfId="0" applyFont="true" applyBorder="false" applyAlignment="true" applyProtection="false">
      <alignment horizontal="general" vertical="center" textRotation="0" wrapText="true" indent="0" shrinkToFit="false"/>
      <protection locked="true" hidden="false"/>
    </xf>
    <xf numFmtId="164" fontId="10"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14" fillId="3" borderId="0" xfId="0" applyFont="true" applyBorder="false" applyAlignment="true" applyProtection="false">
      <alignment horizontal="left" vertical="center" textRotation="0" wrapText="false" indent="0" shrinkToFit="false"/>
      <protection locked="true" hidden="false"/>
    </xf>
    <xf numFmtId="164" fontId="14" fillId="3" borderId="0" xfId="0" applyFont="true" applyBorder="false" applyAlignment="true" applyProtection="false">
      <alignment horizontal="center" vertical="center"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true" applyProtection="false">
      <alignment horizontal="center" vertical="center" textRotation="0" wrapText="false" indent="0" shrinkToFit="false"/>
      <protection locked="true" hidden="false"/>
    </xf>
    <xf numFmtId="168" fontId="8" fillId="0" borderId="1" xfId="0" applyFont="true" applyBorder="true" applyAlignment="true" applyProtection="false">
      <alignment horizontal="center" vertical="center" textRotation="0" wrapText="false" indent="0" shrinkToFit="false"/>
      <protection locked="true" hidden="false"/>
    </xf>
    <xf numFmtId="164" fontId="15" fillId="0" borderId="1" xfId="0" applyFont="true" applyBorder="true" applyAlignment="false" applyProtection="false">
      <alignment horizontal="general" vertical="bottom" textRotation="0" wrapText="false" indent="0" shrinkToFit="false"/>
      <protection locked="true" hidden="false"/>
    </xf>
    <xf numFmtId="164" fontId="14" fillId="2" borderId="1" xfId="0" applyFont="true" applyBorder="true" applyAlignment="false" applyProtection="false">
      <alignment horizontal="general" vertical="bottom" textRotation="0" wrapText="false" indent="0" shrinkToFit="false"/>
      <protection locked="true" hidden="false"/>
    </xf>
    <xf numFmtId="165" fontId="14" fillId="2" borderId="1" xfId="0" applyFont="true" applyBorder="true" applyAlignment="true" applyProtection="false">
      <alignment horizontal="center" vertical="center" textRotation="0" wrapText="false" indent="0" shrinkToFit="false"/>
      <protection locked="true" hidden="false"/>
    </xf>
    <xf numFmtId="168" fontId="14" fillId="2" borderId="1" xfId="0" applyFont="true" applyBorder="true" applyAlignment="true" applyProtection="false">
      <alignment horizontal="center" vertical="center" textRotation="0" wrapText="false" indent="0" shrinkToFit="false"/>
      <protection locked="true" hidden="false"/>
    </xf>
    <xf numFmtId="164" fontId="16"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true" applyProtection="false">
      <alignment horizontal="center" vertical="center" textRotation="0" wrapText="false" indent="0" shrinkToFit="false"/>
      <protection locked="true" hidden="false"/>
    </xf>
    <xf numFmtId="170" fontId="8" fillId="0" borderId="1" xfId="0" applyFont="true" applyBorder="true" applyAlignment="true" applyProtection="false">
      <alignment horizontal="center" vertical="center" textRotation="0" wrapText="false" indent="0" shrinkToFit="false"/>
      <protection locked="true" hidden="false"/>
    </xf>
    <xf numFmtId="165" fontId="8"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general" vertical="center" textRotation="0" wrapText="true" indent="0" shrinkToFit="false"/>
      <protection locked="true" hidden="false"/>
    </xf>
    <xf numFmtId="164" fontId="17" fillId="2" borderId="0" xfId="0" applyFont="true" applyBorder="false" applyAlignment="true" applyProtection="false">
      <alignment horizontal="general" vertical="top" textRotation="0" wrapText="true" indent="0" shrinkToFit="false"/>
      <protection locked="true" hidden="false"/>
    </xf>
    <xf numFmtId="171" fontId="18" fillId="5" borderId="0" xfId="0" applyFont="true" applyBorder="false" applyAlignment="true" applyProtection="false">
      <alignment horizontal="general" vertical="bottom" textRotation="0" wrapText="false" indent="0" shrinkToFit="false"/>
      <protection locked="true" hidden="false"/>
    </xf>
    <xf numFmtId="169" fontId="18" fillId="5" borderId="0" xfId="0" applyFont="true" applyBorder="false" applyAlignment="true" applyProtection="false">
      <alignment horizontal="general" vertical="bottom" textRotation="0" wrapText="false" indent="0" shrinkToFit="false"/>
      <protection locked="true" hidden="false"/>
    </xf>
    <xf numFmtId="167" fontId="18" fillId="5" borderId="0" xfId="0" applyFont="true" applyBorder="false" applyAlignment="true" applyProtection="false">
      <alignment horizontal="general" vertical="bottom" textRotation="0" wrapText="false" indent="0" shrinkToFit="false"/>
      <protection locked="true" hidden="false"/>
    </xf>
    <xf numFmtId="168" fontId="18" fillId="5" borderId="0" xfId="0" applyFont="true" applyBorder="false" applyAlignment="true" applyProtection="false">
      <alignment horizontal="general" vertical="bottom" textRotation="0" wrapText="false" indent="0" shrinkToFit="false"/>
      <protection locked="true" hidden="false"/>
    </xf>
    <xf numFmtId="167" fontId="19" fillId="6"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72" fontId="18" fillId="5" borderId="0" xfId="0" applyFont="true" applyBorder="false" applyAlignment="tru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14" fillId="3" borderId="0" xfId="0" applyFont="true" applyBorder="false" applyAlignment="true" applyProtection="false">
      <alignment horizontal="general" vertical="bottom" textRotation="0" wrapText="false" indent="0" shrinkToFit="false"/>
      <protection locked="true" hidden="false"/>
    </xf>
    <xf numFmtId="164" fontId="14" fillId="3" borderId="0" xfId="0" applyFont="true" applyBorder="false" applyAlignment="true" applyProtection="false">
      <alignment horizontal="center" vertical="bottom" textRotation="0" wrapText="false" indent="0" shrinkToFit="false"/>
      <protection locked="true" hidden="false"/>
    </xf>
    <xf numFmtId="169" fontId="18" fillId="5" borderId="0" xfId="0" applyFont="true" applyBorder="false" applyAlignment="true" applyProtection="false">
      <alignment horizontal="center" vertical="bottom" textRotation="0" wrapText="false" indent="0" shrinkToFit="false"/>
      <protection locked="true" hidden="false"/>
    </xf>
    <xf numFmtId="168" fontId="18" fillId="5" borderId="0" xfId="0" applyFont="true" applyBorder="false" applyAlignment="true" applyProtection="false">
      <alignment horizontal="center" vertical="bottom" textRotation="0" wrapText="false" indent="0" shrinkToFit="false"/>
      <protection locked="true" hidden="false"/>
    </xf>
    <xf numFmtId="171" fontId="18" fillId="5" borderId="0" xfId="0" applyFont="true" applyBorder="false" applyAlignment="true" applyProtection="false">
      <alignment horizontal="center" vertical="bottom" textRotation="0" wrapText="false" indent="0" shrinkToFit="false"/>
      <protection locked="true" hidden="false"/>
    </xf>
    <xf numFmtId="173" fontId="18" fillId="5" borderId="0" xfId="0" applyFont="true" applyBorder="false" applyAlignment="true" applyProtection="false">
      <alignment horizontal="center" vertical="bottom" textRotation="0" wrapText="false" indent="0" shrinkToFit="false"/>
      <protection locked="true" hidden="false"/>
    </xf>
    <xf numFmtId="169" fontId="18" fillId="0" borderId="0" xfId="0" applyFont="true" applyBorder="false" applyAlignment="true" applyProtection="false">
      <alignment horizontal="center" vertical="bottom" textRotation="0" wrapText="false" indent="0" shrinkToFit="false"/>
      <protection locked="true" hidden="false"/>
    </xf>
    <xf numFmtId="167" fontId="18" fillId="0" borderId="0" xfId="0" applyFont="true" applyBorder="false" applyAlignment="true" applyProtection="false">
      <alignment horizontal="center" vertical="bottom" textRotation="0" wrapText="false" indent="0" shrinkToFit="false"/>
      <protection locked="true" hidden="false"/>
    </xf>
    <xf numFmtId="171" fontId="18" fillId="0" borderId="0" xfId="0" applyFont="true" applyBorder="false" applyAlignment="true" applyProtection="false">
      <alignment horizontal="center" vertical="bottom" textRotation="0" wrapText="false" indent="0" shrinkToFit="false"/>
      <protection locked="true" hidden="false"/>
    </xf>
    <xf numFmtId="168" fontId="18" fillId="0" borderId="0" xfId="0" applyFont="true" applyBorder="false" applyAlignment="true" applyProtection="false">
      <alignment horizontal="center" vertical="bottom" textRotation="0" wrapText="false" indent="0" shrinkToFit="false"/>
      <protection locked="true" hidden="false"/>
    </xf>
    <xf numFmtId="174" fontId="18" fillId="0" borderId="0" xfId="0" applyFont="true" applyBorder="false" applyAlignment="true" applyProtection="false">
      <alignment horizontal="center" vertical="bottom" textRotation="0" wrapText="false" indent="0" shrinkToFit="false"/>
      <protection locked="true" hidden="false"/>
    </xf>
    <xf numFmtId="164" fontId="8" fillId="3" borderId="0" xfId="0" applyFont="true" applyBorder="false" applyAlignment="true" applyProtection="false">
      <alignment horizontal="general" vertical="bottom" textRotation="0" wrapText="false" indent="0" shrinkToFit="false"/>
      <protection locked="true" hidden="false"/>
    </xf>
    <xf numFmtId="169" fontId="18" fillId="3" borderId="0" xfId="0" applyFont="true" applyBorder="false" applyAlignment="true" applyProtection="false">
      <alignment horizontal="center" vertical="bottom" textRotation="0" wrapText="false" indent="0" shrinkToFit="false"/>
      <protection locked="true" hidden="false"/>
    </xf>
    <xf numFmtId="167" fontId="18" fillId="3" borderId="0" xfId="0" applyFont="true" applyBorder="false" applyAlignment="true" applyProtection="false">
      <alignment horizontal="center" vertical="bottom" textRotation="0" wrapText="false" indent="0" shrinkToFit="false"/>
      <protection locked="true" hidden="false"/>
    </xf>
    <xf numFmtId="171" fontId="18" fillId="3" borderId="0" xfId="0" applyFont="true" applyBorder="false" applyAlignment="true" applyProtection="false">
      <alignment horizontal="center" vertical="bottom" textRotation="0" wrapText="false" indent="0" shrinkToFit="false"/>
      <protection locked="true" hidden="false"/>
    </xf>
    <xf numFmtId="168" fontId="18" fillId="3" borderId="0" xfId="0" applyFont="true" applyBorder="false" applyAlignment="true" applyProtection="false">
      <alignment horizontal="center" vertical="bottom" textRotation="0" wrapText="false" indent="0" shrinkToFit="false"/>
      <protection locked="true" hidden="false"/>
    </xf>
    <xf numFmtId="174" fontId="18" fillId="3" borderId="0" xfId="0" applyFont="true" applyBorder="false" applyAlignment="true" applyProtection="false">
      <alignment horizontal="center" vertical="bottom" textRotation="0" wrapText="false" indent="0" shrinkToFit="false"/>
      <protection locked="true" hidden="false"/>
    </xf>
    <xf numFmtId="173" fontId="18" fillId="5" borderId="0" xfId="0" applyFont="true" applyBorder="false" applyAlignment="true" applyProtection="false">
      <alignment horizontal="general" vertical="bottom" textRotation="0" wrapText="false" indent="0" shrinkToFit="false"/>
      <protection locked="true" hidden="false"/>
    </xf>
    <xf numFmtId="171" fontId="18" fillId="0" borderId="0" xfId="0" applyFont="true" applyBorder="false" applyAlignment="true" applyProtection="false">
      <alignment horizontal="general" vertical="bottom" textRotation="0" wrapText="false" indent="0" shrinkToFit="false"/>
      <protection locked="true" hidden="false"/>
    </xf>
    <xf numFmtId="171" fontId="18" fillId="3" borderId="0" xfId="0" applyFont="true" applyBorder="false" applyAlignment="true" applyProtection="false">
      <alignment horizontal="general" vertical="bottom" textRotation="0" wrapText="false" indent="0" shrinkToFit="false"/>
      <protection locked="true" hidden="false"/>
    </xf>
    <xf numFmtId="167" fontId="14" fillId="3"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7" fontId="18"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71" fontId="8"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71" fontId="11" fillId="0" borderId="0" xfId="0" applyFont="true" applyBorder="false" applyAlignment="true" applyProtection="false">
      <alignment horizontal="general" vertical="bottom" textRotation="0" wrapText="false" indent="0" shrinkToFit="false"/>
      <protection locked="true" hidden="false"/>
    </xf>
    <xf numFmtId="169" fontId="11" fillId="0" borderId="0" xfId="0" applyFont="true" applyBorder="false" applyAlignment="true" applyProtection="false">
      <alignment horizontal="general" vertical="bottom" textRotation="0" wrapText="false" indent="0" shrinkToFit="false"/>
      <protection locked="true" hidden="false"/>
    </xf>
    <xf numFmtId="168" fontId="8"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center"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71" fontId="20" fillId="0" borderId="0" xfId="0" applyFont="true" applyBorder="false" applyAlignment="true" applyProtection="false">
      <alignment horizontal="general" vertical="bottom" textRotation="0" wrapText="false" indent="0" shrinkToFit="false"/>
      <protection locked="true" hidden="false"/>
    </xf>
    <xf numFmtId="168" fontId="20" fillId="0" borderId="0" xfId="0" applyFont="true" applyBorder="false" applyAlignment="true" applyProtection="false">
      <alignment horizontal="general" vertical="bottom" textRotation="0" wrapText="false" indent="0" shrinkToFit="false"/>
      <protection locked="true" hidden="false"/>
    </xf>
    <xf numFmtId="174" fontId="14" fillId="3" borderId="0" xfId="0" applyFont="true" applyBorder="false" applyAlignment="true" applyProtection="false">
      <alignment horizontal="center" vertical="bottom" textRotation="0" wrapText="false" indent="0" shrinkToFit="false"/>
      <protection locked="true" hidden="false"/>
    </xf>
    <xf numFmtId="169" fontId="20" fillId="0" borderId="0" xfId="0" applyFont="true" applyBorder="false" applyAlignment="true" applyProtection="false">
      <alignment horizontal="general" vertical="bottom" textRotation="0" wrapText="false" indent="0" shrinkToFit="false"/>
      <protection locked="true" hidden="false"/>
    </xf>
    <xf numFmtId="164" fontId="21" fillId="2" borderId="0" xfId="0" applyFont="true" applyBorder="false" applyAlignment="tru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9" fontId="22" fillId="0" borderId="0" xfId="0" applyFont="true" applyBorder="false" applyAlignment="true" applyProtection="false">
      <alignment horizontal="general" vertical="bottom" textRotation="0" wrapText="false" indent="0" shrinkToFit="false"/>
      <protection locked="true" hidden="false"/>
    </xf>
    <xf numFmtId="169" fontId="8" fillId="0" borderId="0" xfId="0" applyFont="true" applyBorder="false" applyAlignment="false" applyProtection="false">
      <alignment horizontal="general" vertical="bottom" textRotation="0" wrapText="false" indent="0" shrinkToFit="false"/>
      <protection locked="true" hidden="false"/>
    </xf>
    <xf numFmtId="164" fontId="23" fillId="2" borderId="0" xfId="0" applyFont="true" applyBorder="false" applyAlignment="true" applyProtection="false">
      <alignment horizontal="general" vertical="center" textRotation="0" wrapText="tru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general" vertical="top" textRotation="0" wrapText="true" indent="0" shrinkToFit="false"/>
      <protection locked="true" hidden="false"/>
    </xf>
    <xf numFmtId="164" fontId="10" fillId="2" borderId="2" xfId="0" applyFont="true" applyBorder="true" applyAlignment="true" applyProtection="false">
      <alignment horizontal="general" vertical="bottom" textRotation="0" wrapText="false" indent="0" shrinkToFit="false"/>
      <protection locked="true" hidden="false"/>
    </xf>
    <xf numFmtId="164" fontId="10" fillId="2" borderId="2"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false" indent="0" shrinkToFit="false"/>
      <protection locked="true" hidden="false"/>
    </xf>
    <xf numFmtId="169" fontId="18" fillId="5" borderId="2" xfId="0" applyFont="true" applyBorder="true" applyAlignment="true" applyProtection="false">
      <alignment horizontal="center" vertical="bottom" textRotation="0" wrapText="false" indent="0" shrinkToFit="false"/>
      <protection locked="true" hidden="false"/>
    </xf>
    <xf numFmtId="172" fontId="19" fillId="0" borderId="2" xfId="0" applyFont="true" applyBorder="true" applyAlignment="true" applyProtection="false">
      <alignment horizontal="center" vertical="bottom" textRotation="0" wrapText="false" indent="0" shrinkToFit="false"/>
      <protection locked="true" hidden="false"/>
    </xf>
    <xf numFmtId="167" fontId="18" fillId="5" borderId="2" xfId="0" applyFont="true" applyBorder="true" applyAlignment="true" applyProtection="false">
      <alignment horizontal="center" vertical="bottom" textRotation="0" wrapText="false" indent="0" shrinkToFit="false"/>
      <protection locked="true" hidden="false"/>
    </xf>
    <xf numFmtId="167" fontId="19" fillId="0" borderId="2" xfId="0" applyFont="true" applyBorder="true" applyAlignment="true" applyProtection="false">
      <alignment horizontal="center" vertical="bottom" textRotation="0" wrapText="false" indent="0" shrinkToFit="false"/>
      <protection locked="true" hidden="false"/>
    </xf>
    <xf numFmtId="165" fontId="5" fillId="0" borderId="2" xfId="0" applyFont="true" applyBorder="true" applyAlignment="true" applyProtection="false">
      <alignment horizontal="center" vertical="bottom" textRotation="0" wrapText="false" indent="0" shrinkToFit="false"/>
      <protection locked="true" hidden="false"/>
    </xf>
    <xf numFmtId="172" fontId="18" fillId="5" borderId="2" xfId="0" applyFont="true" applyBorder="true" applyAlignment="true" applyProtection="false">
      <alignment horizontal="center" vertical="bottom" textRotation="0" wrapText="false" indent="0" shrinkToFit="false"/>
      <protection locked="true" hidden="false"/>
    </xf>
    <xf numFmtId="172" fontId="5" fillId="0" borderId="2" xfId="0" applyFont="true" applyBorder="true" applyAlignment="true" applyProtection="false">
      <alignment horizontal="center" vertical="bottom" textRotation="0" wrapText="false" indent="0" shrinkToFit="false"/>
      <protection locked="true" hidden="false"/>
    </xf>
    <xf numFmtId="168" fontId="18" fillId="5" borderId="2" xfId="0" applyFont="true" applyBorder="true" applyAlignment="true" applyProtection="false">
      <alignment horizontal="center" vertical="bottom" textRotation="0" wrapText="false" indent="0" shrinkToFit="false"/>
      <protection locked="true" hidden="false"/>
    </xf>
    <xf numFmtId="168" fontId="19"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general" vertical="bottom" textRotation="0" wrapText="false" indent="0" shrinkToFit="false"/>
      <protection locked="true" hidden="false"/>
    </xf>
    <xf numFmtId="172" fontId="7" fillId="0" borderId="2" xfId="0" applyFont="true" applyBorder="true" applyAlignment="true" applyProtection="false">
      <alignment horizontal="center" vertical="bottom" textRotation="0" wrapText="false" indent="0" shrinkToFit="false"/>
      <protection locked="true" hidden="false"/>
    </xf>
    <xf numFmtId="165" fontId="7" fillId="0" borderId="2"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general" vertical="top" textRotation="0" wrapText="true" indent="0" shrinkToFit="false"/>
      <protection locked="true" hidden="false"/>
    </xf>
    <xf numFmtId="164" fontId="8" fillId="0" borderId="2" xfId="0" applyFont="true" applyBorder="true" applyAlignment="true" applyProtection="false">
      <alignment horizontal="general" vertical="top" textRotation="0" wrapText="tru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75" fontId="19" fillId="0" borderId="0" xfId="0" applyFont="true" applyBorder="false" applyAlignment="true" applyProtection="false">
      <alignment horizontal="general" vertical="bottom" textRotation="0" wrapText="false" indent="0" shrinkToFit="false"/>
      <protection locked="true" hidden="false"/>
    </xf>
    <xf numFmtId="168" fontId="19" fillId="0" borderId="0" xfId="0" applyFont="true" applyBorder="false" applyAlignment="true" applyProtection="false">
      <alignment horizontal="general" vertical="bottom" textRotation="0" wrapText="false" indent="0" shrinkToFit="false"/>
      <protection locked="true" hidden="false"/>
    </xf>
    <xf numFmtId="176" fontId="5" fillId="0" borderId="0" xfId="0" applyFont="true" applyBorder="false" applyAlignment="true" applyProtection="false">
      <alignment horizontal="general" vertical="bottom" textRotation="0" wrapText="false" indent="0" shrinkToFit="false"/>
      <protection locked="true" hidden="false"/>
    </xf>
    <xf numFmtId="175" fontId="5" fillId="0" borderId="0" xfId="0" applyFont="true" applyBorder="false" applyAlignment="true" applyProtection="false">
      <alignment horizontal="general" vertical="bottom" textRotation="0" wrapText="false" indent="0" shrinkToFit="false"/>
      <protection locked="true" hidden="false"/>
    </xf>
    <xf numFmtId="168" fontId="5"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75" fontId="7" fillId="0" borderId="0" xfId="0" applyFont="true" applyBorder="false" applyAlignment="true" applyProtection="false">
      <alignment horizontal="general" vertical="bottom" textRotation="0" wrapText="false" indent="0" shrinkToFit="false"/>
      <protection locked="true" hidden="false"/>
    </xf>
    <xf numFmtId="177" fontId="7" fillId="0" borderId="0" xfId="0" applyFont="true" applyBorder="false" applyAlignment="true" applyProtection="false">
      <alignment horizontal="general" vertical="bottom" textRotation="0" wrapText="false" indent="0" shrinkToFit="false"/>
      <protection locked="true" hidden="false"/>
    </xf>
    <xf numFmtId="176" fontId="7" fillId="0" borderId="0" xfId="0" applyFont="true" applyBorder="false" applyAlignment="true" applyProtection="false">
      <alignment horizontal="general" vertical="bottom" textRotation="0" wrapText="false" indent="0" shrinkToFit="false"/>
      <protection locked="true" hidden="false"/>
    </xf>
    <xf numFmtId="178" fontId="8" fillId="0" borderId="0" xfId="0" applyFont="true" applyBorder="false" applyAlignment="true" applyProtection="false">
      <alignment horizontal="general" vertical="bottom" textRotation="0" wrapText="false" indent="0" shrinkToFit="false"/>
      <protection locked="true" hidden="false"/>
    </xf>
    <xf numFmtId="164" fontId="11" fillId="4" borderId="0" xfId="0" applyFont="true" applyBorder="false" applyAlignment="true" applyProtection="false">
      <alignment horizontal="general" vertical="bottom" textRotation="0" wrapText="false" indent="0" shrinkToFit="false"/>
      <protection locked="true" hidden="false"/>
    </xf>
    <xf numFmtId="169" fontId="11" fillId="4" borderId="0" xfId="0" applyFont="true" applyBorder="false" applyAlignment="tru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66" fontId="10" fillId="2" borderId="0" xfId="0" applyFont="true" applyBorder="false" applyAlignment="tru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general" vertical="bottom" textRotation="0" wrapText="false" indent="0" shrinkToFit="false"/>
      <protection locked="true" hidden="false"/>
    </xf>
    <xf numFmtId="166" fontId="18" fillId="0" borderId="0" xfId="0" applyFont="true" applyBorder="false" applyAlignment="tru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xf numFmtId="165" fontId="11" fillId="0" borderId="0" xfId="0" applyFont="true" applyBorder="false" applyAlignment="true" applyProtection="false">
      <alignment horizontal="general" vertical="bottom" textRotation="0" wrapText="false" indent="0" shrinkToFit="false"/>
      <protection locked="true" hidden="false"/>
    </xf>
    <xf numFmtId="165" fontId="12" fillId="4"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top" textRotation="0" wrapText="true" indent="0" shrinkToFit="false"/>
      <protection locked="true" hidden="false"/>
    </xf>
    <xf numFmtId="165" fontId="18" fillId="5" borderId="0" xfId="0" applyFont="true" applyBorder="false" applyAlignment="true" applyProtection="false">
      <alignment horizontal="general" vertical="bottom" textRotation="0" wrapText="false" indent="0" shrinkToFit="false"/>
      <protection locked="true" hidden="false"/>
    </xf>
    <xf numFmtId="165" fontId="19" fillId="6" borderId="0" xfId="0" applyFont="true" applyBorder="fals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79" fontId="7" fillId="0" borderId="0" xfId="0" applyFont="true" applyBorder="false" applyAlignment="true" applyProtection="false">
      <alignment horizontal="general" vertical="bottom" textRotation="0" wrapText="false" indent="0" shrinkToFit="false"/>
      <protection locked="true" hidden="false"/>
    </xf>
    <xf numFmtId="167" fontId="7" fillId="0" borderId="0" xfId="0" applyFont="true" applyBorder="false" applyAlignment="true" applyProtection="false">
      <alignment horizontal="general" vertical="bottom" textRotation="0" wrapText="false" indent="0" shrinkToFit="false"/>
      <protection locked="true" hidden="false"/>
    </xf>
    <xf numFmtId="165" fontId="8" fillId="0" borderId="2" xfId="0" applyFont="true" applyBorder="true" applyAlignment="true" applyProtection="false">
      <alignment horizontal="center" vertical="bottom" textRotation="0" wrapText="false" indent="0" shrinkToFit="false"/>
      <protection locked="true" hidden="false"/>
    </xf>
    <xf numFmtId="164" fontId="25" fillId="0" borderId="2" xfId="0" applyFont="true" applyBorder="true" applyAlignment="tru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general" vertical="bottom" textRotation="0" wrapText="false" indent="0" shrinkToFit="false"/>
      <protection locked="true" hidden="false"/>
    </xf>
    <xf numFmtId="168" fontId="5" fillId="0" borderId="0" xfId="0" applyFont="true" applyBorder="false" applyAlignment="true" applyProtection="false">
      <alignment horizontal="center" vertical="bottom" textRotation="0" wrapText="false" indent="0" shrinkToFit="false"/>
      <protection locked="true" hidden="false"/>
    </xf>
    <xf numFmtId="168" fontId="8" fillId="0" borderId="0" xfId="0" applyFont="true" applyBorder="false" applyAlignment="true" applyProtection="false">
      <alignment horizontal="center" vertical="bottom" textRotation="0" wrapText="false" indent="0" shrinkToFit="false"/>
      <protection locked="true" hidden="false"/>
    </xf>
    <xf numFmtId="165" fontId="8" fillId="0" borderId="2" xfId="0" applyFont="true" applyBorder="true" applyAlignment="true" applyProtection="false">
      <alignment horizontal="general" vertical="bottom" textRotation="0" wrapText="false" indent="0" shrinkToFit="false"/>
      <protection locked="true" hidden="false"/>
    </xf>
    <xf numFmtId="168" fontId="8" fillId="0" borderId="2" xfId="0" applyFont="true" applyBorder="true" applyAlignment="true" applyProtection="false">
      <alignment horizontal="center" vertical="bottom" textRotation="0" wrapText="false" indent="0" shrinkToFit="false"/>
      <protection locked="true" hidden="false"/>
    </xf>
    <xf numFmtId="164" fontId="17" fillId="2" borderId="0" xfId="0" applyFont="true" applyBorder="false" applyAlignment="tru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center" vertical="bottom" textRotation="0" wrapText="false" indent="0" shrinkToFit="false"/>
      <protection locked="true" hidden="false"/>
    </xf>
    <xf numFmtId="165" fontId="8" fillId="4" borderId="0" xfId="0" applyFont="true" applyBorder="false" applyAlignment="true" applyProtection="false">
      <alignment horizontal="center" vertical="bottom" textRotation="0" wrapText="false" indent="0" shrinkToFit="false"/>
      <protection locked="true" hidden="false"/>
    </xf>
    <xf numFmtId="164" fontId="14" fillId="5" borderId="0" xfId="0" applyFont="true" applyBorder="false" applyAlignment="true" applyProtection="false">
      <alignment horizontal="general" vertical="bottom" textRotation="0" wrapText="false" indent="0" shrinkToFit="false"/>
      <protection locked="true" hidden="false"/>
    </xf>
    <xf numFmtId="178" fontId="18" fillId="5" borderId="0" xfId="0" applyFont="true" applyBorder="false" applyAlignment="true" applyProtection="false">
      <alignment horizontal="center" vertical="bottom" textRotation="0" wrapText="false" indent="0" shrinkToFit="false"/>
      <protection locked="true" hidden="false"/>
    </xf>
    <xf numFmtId="168" fontId="14" fillId="3"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B5E5E"/>
      <rgbColor rgb="FFCCCCCC"/>
      <rgbColor rgb="FF808080"/>
      <rgbColor rgb="FF9999FF"/>
      <rgbColor rgb="FF993366"/>
      <rgbColor rgb="FFFBFBE7"/>
      <rgbColor rgb="FFDDEBF7"/>
      <rgbColor rgb="FF660066"/>
      <rgbColor rgb="FFFF8080"/>
      <rgbColor rgb="FF0066CC"/>
      <rgbColor rgb="FFBFD4D4"/>
      <rgbColor rgb="FF000080"/>
      <rgbColor rgb="FFFF00FF"/>
      <rgbColor rgb="FFFFFF00"/>
      <rgbColor rgb="FF00FFFF"/>
      <rgbColor rgb="FF800080"/>
      <rgbColor rgb="FF800000"/>
      <rgbColor rgb="FF008080"/>
      <rgbColor rgb="FF0000FF"/>
      <rgbColor rgb="FF00CCFF"/>
      <rgbColor rgb="FFE6F0F0"/>
      <rgbColor rgb="FFCCFFCC"/>
      <rgbColor rgb="FFFFFF99"/>
      <rgbColor rgb="FF99CCFF"/>
      <rgbColor rgb="FFFF99CC"/>
      <rgbColor rgb="FFCC99FF"/>
      <rgbColor rgb="FFFFCC99"/>
      <rgbColor rgb="FF3366FF"/>
      <rgbColor rgb="FF33CCCC"/>
      <rgbColor rgb="FF99CC00"/>
      <rgbColor rgb="FFFFCC00"/>
      <rgbColor rgb="FFFF9900"/>
      <rgbColor rgb="FFFF6600"/>
      <rgbColor rgb="FF6B6B6B"/>
      <rgbColor rgb="FF969696"/>
      <rgbColor rgb="FF003366"/>
      <rgbColor rgb="FF2A8F8F"/>
      <rgbColor rgb="FF003300"/>
      <rgbColor rgb="FF333300"/>
      <rgbColor rgb="FF993300"/>
      <rgbColor rgb="FF993366"/>
      <rgbColor rgb="FF1F4E79"/>
      <rgbColor rgb="FF55555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18"/>
  </cols>
  <sheetData>
    <row r="1" customFormat="false" ht="15.75" hidden="false" customHeight="true" outlineLevel="0" collapsed="false">
      <c r="A1" s="2" t="s">
        <v>0</v>
      </c>
    </row>
    <row r="2" customFormat="false" ht="7.5" hidden="false" customHeight="true" outlineLevel="0" collapsed="false">
      <c r="A2" s="3"/>
    </row>
    <row r="3" customFormat="false" ht="15.75" hidden="false" customHeight="true" outlineLevel="0" collapsed="false">
      <c r="A3" s="4" t="s">
        <v>1</v>
      </c>
    </row>
    <row r="4" customFormat="false" ht="30" hidden="false" customHeight="true" outlineLevel="0" collapsed="false">
      <c r="A4" s="3" t="s">
        <v>2</v>
      </c>
    </row>
    <row r="5" customFormat="false" ht="7.5" hidden="false" customHeight="true" outlineLevel="0" collapsed="false">
      <c r="A5" s="3"/>
    </row>
    <row r="6" customFormat="false" ht="15.75" hidden="false" customHeight="true" outlineLevel="0" collapsed="false">
      <c r="A6" s="4" t="s">
        <v>3</v>
      </c>
    </row>
    <row r="7" customFormat="false" ht="30" hidden="false" customHeight="true" outlineLevel="0" collapsed="false">
      <c r="A7" s="3" t="s">
        <v>4</v>
      </c>
    </row>
    <row r="8" customFormat="false" ht="7.5" hidden="false" customHeight="true" outlineLevel="0" collapsed="false">
      <c r="A8" s="3"/>
    </row>
    <row r="9" customFormat="false" ht="15.75" hidden="false" customHeight="true" outlineLevel="0" collapsed="false">
      <c r="A9" s="4" t="s">
        <v>5</v>
      </c>
    </row>
    <row r="10" customFormat="false" ht="30" hidden="false" customHeight="true" outlineLevel="0" collapsed="false">
      <c r="A10" s="3" t="s">
        <v>6</v>
      </c>
    </row>
    <row r="11" customFormat="false" ht="7.5" hidden="false" customHeight="true" outlineLevel="0" collapsed="false">
      <c r="A11" s="3"/>
    </row>
    <row r="12" customFormat="false" ht="15.75" hidden="false" customHeight="true" outlineLevel="0" collapsed="false">
      <c r="A12" s="4" t="s">
        <v>7</v>
      </c>
    </row>
    <row r="13" customFormat="false" ht="15.75" hidden="false" customHeight="true" outlineLevel="0" collapsed="false">
      <c r="A13" s="5" t="s">
        <v>8</v>
      </c>
    </row>
    <row r="14" customFormat="false" ht="7.5" hidden="false" customHeight="true" outlineLevel="0" collapsed="false">
      <c r="A14" s="3"/>
    </row>
    <row r="15" customFormat="false" ht="15.75" hidden="false" customHeight="true" outlineLevel="0" collapsed="false">
      <c r="A15" s="4" t="s">
        <v>9</v>
      </c>
    </row>
    <row r="16" customFormat="false" ht="30" hidden="false" customHeight="true" outlineLevel="0" collapsed="false">
      <c r="A16" s="3" t="s">
        <v>10</v>
      </c>
    </row>
    <row r="17" customFormat="false" ht="7.5" hidden="false" customHeight="true" outlineLevel="0" collapsed="false">
      <c r="A17" s="3"/>
    </row>
    <row r="18" customFormat="false" ht="15.75" hidden="false" customHeight="true" outlineLevel="0" collapsed="false">
      <c r="A18" s="4" t="s">
        <v>11</v>
      </c>
    </row>
    <row r="19" customFormat="false" ht="30" hidden="false" customHeight="true" outlineLevel="0" collapsed="false">
      <c r="A19" s="3" t="s">
        <v>12</v>
      </c>
    </row>
    <row r="20" customFormat="false" ht="7.5" hidden="false" customHeight="true" outlineLevel="0" collapsed="false">
      <c r="A20" s="3"/>
    </row>
    <row r="21" customFormat="false" ht="15.75" hidden="false" customHeight="true" outlineLevel="0" collapsed="false">
      <c r="A21" s="4" t="s">
        <v>13</v>
      </c>
    </row>
    <row r="22" customFormat="false" ht="30" hidden="false" customHeight="true" outlineLevel="0" collapsed="false">
      <c r="A22" s="3" t="s">
        <v>14</v>
      </c>
    </row>
    <row r="23" customFormat="false" ht="7.5" hidden="false" customHeight="true" outlineLevel="0" collapsed="false">
      <c r="A23" s="3"/>
    </row>
    <row r="24" customFormat="false" ht="15.75" hidden="false" customHeight="true" outlineLevel="0" collapsed="false">
      <c r="A24" s="4" t="s">
        <v>15</v>
      </c>
    </row>
    <row r="25" customFormat="false" ht="30" hidden="false" customHeight="true" outlineLevel="0" collapsed="false">
      <c r="A25" s="6"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4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5" min="3" style="1" width="9"/>
  </cols>
  <sheetData>
    <row r="1" customFormat="false" ht="15.75" hidden="false" customHeight="true" outlineLevel="0" collapsed="false">
      <c r="A1" s="7" t="s">
        <v>285</v>
      </c>
      <c r="B1" s="8"/>
      <c r="C1" s="8"/>
      <c r="D1" s="8"/>
      <c r="E1" s="8"/>
      <c r="F1" s="8"/>
      <c r="G1" s="8"/>
      <c r="H1" s="8"/>
      <c r="I1" s="8"/>
      <c r="J1" s="8"/>
      <c r="K1" s="8"/>
      <c r="L1" s="8"/>
      <c r="M1" s="8"/>
      <c r="N1" s="8"/>
      <c r="O1" s="8"/>
      <c r="P1" s="8"/>
      <c r="Q1" s="8"/>
      <c r="R1" s="8"/>
      <c r="S1" s="8"/>
      <c r="T1" s="8"/>
      <c r="U1" s="8"/>
      <c r="V1" s="8"/>
      <c r="W1" s="8"/>
      <c r="X1" s="8"/>
      <c r="Y1" s="8"/>
    </row>
    <row r="2" customFormat="false" ht="39.75" hidden="false" customHeight="true" outlineLevel="0" collapsed="false">
      <c r="A2" s="92" t="s">
        <v>286</v>
      </c>
      <c r="B2" s="8"/>
      <c r="C2" s="8"/>
      <c r="D2" s="8"/>
      <c r="E2" s="8"/>
      <c r="F2" s="8"/>
      <c r="G2" s="8"/>
      <c r="H2" s="8"/>
      <c r="I2" s="8"/>
      <c r="J2" s="8"/>
      <c r="K2" s="8"/>
      <c r="L2" s="8"/>
      <c r="M2" s="8"/>
      <c r="N2" s="8"/>
      <c r="O2" s="8"/>
      <c r="P2" s="8"/>
      <c r="Q2" s="8"/>
      <c r="R2" s="8"/>
      <c r="S2" s="8"/>
      <c r="T2" s="8"/>
      <c r="U2" s="8"/>
      <c r="V2" s="8"/>
      <c r="W2" s="8"/>
      <c r="X2" s="8"/>
      <c r="Y2" s="8"/>
    </row>
    <row r="3" customFormat="false" ht="15" hidden="false" customHeight="true" outlineLevel="0" collapsed="false">
      <c r="A3" s="51" t="s">
        <v>194</v>
      </c>
      <c r="C3" s="85" t="s">
        <v>206</v>
      </c>
      <c r="D3" s="85" t="s">
        <v>207</v>
      </c>
      <c r="E3" s="85" t="s">
        <v>208</v>
      </c>
      <c r="F3" s="85" t="s">
        <v>209</v>
      </c>
      <c r="G3" s="85" t="s">
        <v>210</v>
      </c>
      <c r="H3" s="85"/>
      <c r="I3" s="85"/>
      <c r="J3" s="85"/>
      <c r="K3" s="85"/>
      <c r="L3" s="85"/>
      <c r="M3" s="85"/>
      <c r="N3" s="85"/>
      <c r="O3" s="85"/>
      <c r="P3" s="85"/>
      <c r="Q3" s="85"/>
      <c r="R3" s="85"/>
      <c r="S3" s="85"/>
      <c r="T3" s="85"/>
      <c r="U3" s="85"/>
      <c r="V3" s="85"/>
      <c r="W3" s="85"/>
      <c r="X3" s="85"/>
      <c r="Y3" s="85"/>
    </row>
    <row r="4" customFormat="false" ht="15" hidden="false" customHeight="true" outlineLevel="0" collapsed="false">
      <c r="A4" s="10" t="s">
        <v>287</v>
      </c>
    </row>
    <row r="5" customFormat="false" ht="15" hidden="false" customHeight="true" outlineLevel="0" collapsed="false">
      <c r="A5" s="11" t="s">
        <v>288</v>
      </c>
      <c r="C5" s="86" t="n">
        <f aca="false">'Debt Schedule'!C19</f>
        <v>38.587749425</v>
      </c>
      <c r="D5" s="86" t="n">
        <f aca="false">'Debt Schedule'!D19</f>
        <v>45.1759706125</v>
      </c>
      <c r="E5" s="86" t="n">
        <f aca="false">'Debt Schedule'!E19</f>
        <v>53.7161858375</v>
      </c>
      <c r="F5" s="86" t="n">
        <f aca="false">'Debt Schedule'!F19</f>
        <v>64.4818265375</v>
      </c>
      <c r="G5" s="86" t="n">
        <f aca="false">'Debt Schedule'!G19</f>
        <v>77.7840663625</v>
      </c>
      <c r="H5" s="86"/>
      <c r="I5" s="86"/>
      <c r="J5" s="86"/>
      <c r="K5" s="86"/>
      <c r="L5" s="86"/>
      <c r="M5" s="86"/>
      <c r="N5" s="86"/>
      <c r="O5" s="86"/>
      <c r="P5" s="86"/>
      <c r="Q5" s="86"/>
      <c r="R5" s="86"/>
      <c r="S5" s="86"/>
      <c r="T5" s="86"/>
      <c r="U5" s="86"/>
      <c r="V5" s="86"/>
      <c r="W5" s="86"/>
      <c r="X5" s="86"/>
      <c r="Y5" s="86"/>
    </row>
    <row r="6" customFormat="false" ht="15" hidden="false" customHeight="true" outlineLevel="0" collapsed="false">
      <c r="A6" s="11" t="s">
        <v>289</v>
      </c>
      <c r="C6" s="19" t="n">
        <f aca="false">MAX(C24,0)</f>
        <v>0</v>
      </c>
      <c r="D6" s="19" t="n">
        <f aca="false">MAX(D24,0)</f>
        <v>0</v>
      </c>
      <c r="E6" s="19" t="n">
        <f aca="false">MAX(E24,0)</f>
        <v>0</v>
      </c>
      <c r="F6" s="19" t="n">
        <f aca="false">MAX(F24,0)</f>
        <v>0</v>
      </c>
      <c r="G6" s="19" t="n">
        <f aca="false">MAX(G24,0)</f>
        <v>3.53890000000001</v>
      </c>
      <c r="H6" s="19"/>
      <c r="I6" s="19"/>
      <c r="J6" s="19"/>
      <c r="K6" s="19"/>
      <c r="L6" s="19"/>
      <c r="M6" s="19"/>
      <c r="N6" s="19"/>
      <c r="O6" s="19"/>
      <c r="P6" s="19"/>
      <c r="Q6" s="19"/>
      <c r="R6" s="19"/>
      <c r="S6" s="19"/>
      <c r="T6" s="19"/>
      <c r="U6" s="19"/>
      <c r="V6" s="19"/>
      <c r="W6" s="19"/>
      <c r="X6" s="19"/>
      <c r="Y6" s="19"/>
    </row>
    <row r="7" customFormat="false" ht="15" hidden="false" customHeight="true" outlineLevel="0" collapsed="false">
      <c r="A7" s="11" t="s">
        <v>290</v>
      </c>
      <c r="C7" s="19" t="n">
        <f aca="false">C25</f>
        <v>68.1012</v>
      </c>
      <c r="D7" s="19" t="n">
        <f aca="false">D25</f>
        <v>57.6149</v>
      </c>
      <c r="E7" s="19" t="n">
        <f aca="false">E25</f>
        <v>44.6347</v>
      </c>
      <c r="F7" s="19" t="n">
        <f aca="false">F25</f>
        <v>28.8117</v>
      </c>
      <c r="G7" s="19" t="n">
        <f aca="false">G25</f>
        <v>9.74780000000001</v>
      </c>
      <c r="H7" s="19"/>
      <c r="I7" s="19"/>
      <c r="J7" s="19"/>
      <c r="K7" s="19"/>
      <c r="L7" s="19"/>
      <c r="M7" s="19"/>
      <c r="N7" s="19"/>
      <c r="O7" s="19"/>
      <c r="P7" s="19"/>
      <c r="Q7" s="19"/>
      <c r="R7" s="19"/>
      <c r="S7" s="19"/>
      <c r="T7" s="19"/>
      <c r="U7" s="19"/>
      <c r="V7" s="19"/>
      <c r="W7" s="19"/>
      <c r="X7" s="19"/>
      <c r="Y7" s="19"/>
    </row>
    <row r="8" customFormat="false" ht="15" hidden="false" customHeight="true" outlineLevel="0" collapsed="false">
      <c r="A8" s="11" t="s">
        <v>291</v>
      </c>
      <c r="C8" s="19" t="n">
        <f aca="false">Assumptions!$B$25</f>
        <v>73</v>
      </c>
      <c r="D8" s="19" t="n">
        <f aca="false">Assumptions!$B$25</f>
        <v>73</v>
      </c>
      <c r="E8" s="19" t="n">
        <f aca="false">Assumptions!$B$25</f>
        <v>73</v>
      </c>
      <c r="F8" s="19" t="n">
        <f aca="false">Assumptions!$B$25</f>
        <v>73</v>
      </c>
      <c r="G8" s="19" t="n">
        <f aca="false">Assumptions!$B$25</f>
        <v>73</v>
      </c>
      <c r="H8" s="19"/>
      <c r="I8" s="19"/>
      <c r="J8" s="19"/>
      <c r="K8" s="19"/>
      <c r="L8" s="19"/>
      <c r="M8" s="19"/>
      <c r="N8" s="19"/>
      <c r="O8" s="19"/>
      <c r="P8" s="19"/>
      <c r="Q8" s="19"/>
      <c r="R8" s="19"/>
      <c r="S8" s="19"/>
      <c r="T8" s="19"/>
      <c r="U8" s="19"/>
      <c r="V8" s="19"/>
      <c r="W8" s="19"/>
      <c r="X8" s="19"/>
      <c r="Y8" s="19"/>
    </row>
    <row r="9" customFormat="false" ht="15" hidden="false" customHeight="true" outlineLevel="0" collapsed="false">
      <c r="A9" s="77" t="s">
        <v>292</v>
      </c>
      <c r="C9" s="79" t="n">
        <f aca="false">C5+C6+C7+C8</f>
        <v>179.688949425</v>
      </c>
      <c r="D9" s="79" t="n">
        <f aca="false">D5+D6+D7+D8</f>
        <v>175.7908706125</v>
      </c>
      <c r="E9" s="79" t="n">
        <f aca="false">E5+E6+E7+E8</f>
        <v>171.3508858375</v>
      </c>
      <c r="F9" s="79" t="n">
        <f aca="false">F5+F6+F7+F8</f>
        <v>166.2935265375</v>
      </c>
      <c r="G9" s="79" t="n">
        <f aca="false">G5+G6+G7+G8</f>
        <v>164.0707663625</v>
      </c>
      <c r="H9" s="79"/>
      <c r="I9" s="79"/>
      <c r="J9" s="79"/>
      <c r="K9" s="79"/>
      <c r="L9" s="79"/>
      <c r="M9" s="79"/>
      <c r="N9" s="79"/>
      <c r="O9" s="79"/>
      <c r="P9" s="79"/>
      <c r="Q9" s="79"/>
      <c r="R9" s="79"/>
      <c r="S9" s="79"/>
      <c r="T9" s="79"/>
      <c r="U9" s="79"/>
      <c r="V9" s="79"/>
      <c r="W9" s="79"/>
      <c r="X9" s="79"/>
      <c r="Y9" s="79"/>
    </row>
    <row r="10" customFormat="false" ht="15" hidden="false" customHeight="true" outlineLevel="0" collapsed="false">
      <c r="A10" s="10" t="s">
        <v>293</v>
      </c>
    </row>
    <row r="11" customFormat="false" ht="15" hidden="false" customHeight="true" outlineLevel="0" collapsed="false">
      <c r="A11" s="11" t="s">
        <v>294</v>
      </c>
      <c r="C11" s="86" t="n">
        <f aca="false">'Debt Schedule'!C18</f>
        <v>0</v>
      </c>
      <c r="D11" s="86" t="n">
        <f aca="false">'Debt Schedule'!D18</f>
        <v>0</v>
      </c>
      <c r="E11" s="86" t="n">
        <f aca="false">'Debt Schedule'!E18</f>
        <v>0</v>
      </c>
      <c r="F11" s="86" t="n">
        <f aca="false">'Debt Schedule'!F18</f>
        <v>0</v>
      </c>
      <c r="G11" s="86" t="n">
        <f aca="false">'Debt Schedule'!G18</f>
        <v>0</v>
      </c>
      <c r="H11" s="86"/>
      <c r="I11" s="86"/>
      <c r="J11" s="86"/>
      <c r="K11" s="86"/>
      <c r="L11" s="86"/>
      <c r="M11" s="86"/>
      <c r="N11" s="86"/>
      <c r="O11" s="86"/>
      <c r="P11" s="86"/>
      <c r="Q11" s="86"/>
      <c r="R11" s="86"/>
      <c r="S11" s="86"/>
      <c r="T11" s="86"/>
      <c r="U11" s="86"/>
      <c r="V11" s="86"/>
      <c r="W11" s="86"/>
      <c r="X11" s="86"/>
      <c r="Y11" s="86"/>
    </row>
    <row r="12" customFormat="false" ht="15" hidden="false" customHeight="true" outlineLevel="0" collapsed="false">
      <c r="A12" s="11" t="s">
        <v>295</v>
      </c>
      <c r="C12" s="19" t="n">
        <f aca="false">MAX(-C24,0)</f>
        <v>41.1518</v>
      </c>
      <c r="D12" s="19" t="n">
        <f aca="false">MAX(-D24,0)</f>
        <v>32.2126</v>
      </c>
      <c r="E12" s="19" t="n">
        <f aca="false">MAX(-E24,0)</f>
        <v>21.9156</v>
      </c>
      <c r="F12" s="19" t="n">
        <f aca="false">MAX(-F24,0)</f>
        <v>10.0708</v>
      </c>
      <c r="G12" s="19" t="n">
        <f aca="false">MAX(-G24,0)</f>
        <v>0</v>
      </c>
      <c r="H12" s="19"/>
      <c r="I12" s="19"/>
      <c r="J12" s="19"/>
      <c r="K12" s="19"/>
      <c r="L12" s="19"/>
      <c r="M12" s="19"/>
      <c r="N12" s="19"/>
      <c r="O12" s="19"/>
      <c r="P12" s="19"/>
      <c r="Q12" s="19"/>
      <c r="R12" s="19"/>
      <c r="S12" s="19"/>
      <c r="T12" s="19"/>
      <c r="U12" s="19"/>
      <c r="V12" s="19"/>
      <c r="W12" s="19"/>
      <c r="X12" s="19"/>
      <c r="Y12" s="19"/>
    </row>
    <row r="13" customFormat="false" ht="15" hidden="false" customHeight="true" outlineLevel="0" collapsed="false">
      <c r="A13" s="11" t="s">
        <v>296</v>
      </c>
      <c r="C13" s="19" t="n">
        <f aca="false">Assumptions!$B$26</f>
        <v>15</v>
      </c>
      <c r="D13" s="19" t="n">
        <f aca="false">Assumptions!$B$26</f>
        <v>15</v>
      </c>
      <c r="E13" s="19" t="n">
        <f aca="false">Assumptions!$B$26</f>
        <v>15</v>
      </c>
      <c r="F13" s="19" t="n">
        <f aca="false">Assumptions!$B$26</f>
        <v>15</v>
      </c>
      <c r="G13" s="19" t="n">
        <f aca="false">Assumptions!$B$26</f>
        <v>15</v>
      </c>
      <c r="H13" s="19"/>
      <c r="I13" s="19"/>
      <c r="J13" s="19"/>
      <c r="K13" s="19"/>
      <c r="L13" s="19"/>
      <c r="M13" s="19"/>
      <c r="N13" s="19"/>
      <c r="O13" s="19"/>
      <c r="P13" s="19"/>
      <c r="Q13" s="19"/>
      <c r="R13" s="19"/>
      <c r="S13" s="19"/>
      <c r="T13" s="19"/>
      <c r="U13" s="19"/>
      <c r="V13" s="19"/>
      <c r="W13" s="19"/>
      <c r="X13" s="19"/>
      <c r="Y13" s="19"/>
    </row>
    <row r="14" customFormat="false" ht="15" hidden="false" customHeight="true" outlineLevel="0" collapsed="false">
      <c r="A14" s="11" t="s">
        <v>297</v>
      </c>
      <c r="C14" s="19" t="n">
        <f aca="false">Assumptions!$B$27</f>
        <v>54</v>
      </c>
      <c r="D14" s="19" t="n">
        <f aca="false">Assumptions!$B$27</f>
        <v>54</v>
      </c>
      <c r="E14" s="19" t="n">
        <f aca="false">Assumptions!$B$27</f>
        <v>54</v>
      </c>
      <c r="F14" s="19" t="n">
        <f aca="false">Assumptions!$B$27</f>
        <v>54</v>
      </c>
      <c r="G14" s="19" t="n">
        <f aca="false">Assumptions!$B$27</f>
        <v>54</v>
      </c>
      <c r="H14" s="19"/>
      <c r="I14" s="19"/>
      <c r="J14" s="19"/>
      <c r="K14" s="19"/>
      <c r="L14" s="19"/>
      <c r="M14" s="19"/>
      <c r="N14" s="19"/>
      <c r="O14" s="19"/>
      <c r="P14" s="19"/>
      <c r="Q14" s="19"/>
      <c r="R14" s="19"/>
      <c r="S14" s="19"/>
      <c r="T14" s="19"/>
      <c r="U14" s="19"/>
      <c r="V14" s="19"/>
      <c r="W14" s="19"/>
      <c r="X14" s="19"/>
      <c r="Y14" s="19"/>
    </row>
    <row r="15" customFormat="false" ht="15" hidden="false" customHeight="true" outlineLevel="0" collapsed="false">
      <c r="A15" s="77" t="s">
        <v>298</v>
      </c>
      <c r="C15" s="79" t="n">
        <f aca="false">C11+C12+C13+C14</f>
        <v>110.1518</v>
      </c>
      <c r="D15" s="79" t="n">
        <f aca="false">D11+D12+D13+D14</f>
        <v>101.2126</v>
      </c>
      <c r="E15" s="79" t="n">
        <f aca="false">E11+E12+E13+E14</f>
        <v>90.9156</v>
      </c>
      <c r="F15" s="79" t="n">
        <f aca="false">F11+F12+F13+F14</f>
        <v>79.0708</v>
      </c>
      <c r="G15" s="79" t="n">
        <f aca="false">G11+G12+G13+G14</f>
        <v>69</v>
      </c>
      <c r="H15" s="79"/>
      <c r="I15" s="79"/>
      <c r="J15" s="79"/>
      <c r="K15" s="79"/>
      <c r="L15" s="79"/>
      <c r="M15" s="79"/>
      <c r="N15" s="79"/>
      <c r="O15" s="79"/>
      <c r="P15" s="79"/>
      <c r="Q15" s="79"/>
      <c r="R15" s="79"/>
      <c r="S15" s="79"/>
      <c r="T15" s="79"/>
      <c r="U15" s="79"/>
      <c r="V15" s="79"/>
      <c r="W15" s="79"/>
      <c r="X15" s="79"/>
      <c r="Y15" s="79"/>
    </row>
    <row r="16" customFormat="false" ht="15" hidden="false" customHeight="true" outlineLevel="0" collapsed="false">
      <c r="A16" s="10" t="s">
        <v>299</v>
      </c>
    </row>
    <row r="17" customFormat="false" ht="15" hidden="false" customHeight="true" outlineLevel="0" collapsed="false">
      <c r="A17" s="11" t="s">
        <v>300</v>
      </c>
      <c r="C17" s="19" t="n">
        <f aca="false">Assumptions!$B$8+'Income Statement'!C18</f>
        <v>69.537149425</v>
      </c>
      <c r="D17" s="19" t="n">
        <f aca="false">C17+'Income Statement'!D18</f>
        <v>74.5782706125</v>
      </c>
      <c r="E17" s="19" t="n">
        <f aca="false">D17+'Income Statement'!E18</f>
        <v>80.4352858375</v>
      </c>
      <c r="F17" s="19" t="n">
        <f aca="false">E17+'Income Statement'!F18</f>
        <v>87.2227265375</v>
      </c>
      <c r="G17" s="19" t="n">
        <f aca="false">F17+'Income Statement'!G18</f>
        <v>95.0707663625</v>
      </c>
      <c r="H17" s="19"/>
      <c r="I17" s="19"/>
      <c r="J17" s="19"/>
      <c r="K17" s="19"/>
      <c r="L17" s="19"/>
      <c r="M17" s="19"/>
      <c r="N17" s="19"/>
      <c r="O17" s="19"/>
      <c r="P17" s="19"/>
      <c r="Q17" s="19"/>
      <c r="R17" s="19"/>
      <c r="S17" s="19"/>
      <c r="T17" s="19"/>
      <c r="U17" s="19"/>
      <c r="V17" s="19"/>
      <c r="W17" s="19"/>
      <c r="X17" s="19"/>
      <c r="Y17" s="19"/>
    </row>
    <row r="18" customFormat="false" ht="15" hidden="false" customHeight="true" outlineLevel="0" collapsed="false">
      <c r="A18" s="77" t="s">
        <v>301</v>
      </c>
      <c r="C18" s="79" t="n">
        <f aca="false">C17</f>
        <v>69.537149425</v>
      </c>
      <c r="D18" s="79" t="n">
        <f aca="false">D17</f>
        <v>74.5782706125</v>
      </c>
      <c r="E18" s="79" t="n">
        <f aca="false">E17</f>
        <v>80.4352858375</v>
      </c>
      <c r="F18" s="79" t="n">
        <f aca="false">F17</f>
        <v>87.2227265375</v>
      </c>
      <c r="G18" s="79" t="n">
        <f aca="false">G17</f>
        <v>95.0707663625</v>
      </c>
      <c r="H18" s="79"/>
      <c r="I18" s="79"/>
      <c r="J18" s="79"/>
      <c r="K18" s="79"/>
      <c r="L18" s="79"/>
      <c r="M18" s="79"/>
      <c r="N18" s="79"/>
      <c r="O18" s="79"/>
      <c r="P18" s="79"/>
      <c r="Q18" s="79"/>
      <c r="R18" s="79"/>
      <c r="S18" s="79"/>
      <c r="T18" s="79"/>
      <c r="U18" s="79"/>
      <c r="V18" s="79"/>
      <c r="W18" s="79"/>
      <c r="X18" s="79"/>
      <c r="Y18" s="79"/>
    </row>
    <row r="19" customFormat="false" ht="15" hidden="false" customHeight="true" outlineLevel="0" collapsed="false">
      <c r="A19" s="77" t="s">
        <v>302</v>
      </c>
      <c r="C19" s="79" t="n">
        <f aca="false">C15+C18</f>
        <v>179.688949425</v>
      </c>
      <c r="D19" s="79" t="n">
        <f aca="false">D15+D18</f>
        <v>175.7908706125</v>
      </c>
      <c r="E19" s="79" t="n">
        <f aca="false">E15+E18</f>
        <v>171.3508858375</v>
      </c>
      <c r="F19" s="79" t="n">
        <f aca="false">F15+F18</f>
        <v>166.2935265375</v>
      </c>
      <c r="G19" s="79" t="n">
        <f aca="false">G15+G18</f>
        <v>164.0707663625</v>
      </c>
      <c r="H19" s="79"/>
      <c r="I19" s="79"/>
      <c r="J19" s="79"/>
      <c r="K19" s="79"/>
      <c r="L19" s="79"/>
      <c r="M19" s="79"/>
      <c r="N19" s="79"/>
      <c r="O19" s="79"/>
      <c r="P19" s="79"/>
      <c r="Q19" s="79"/>
      <c r="R19" s="79"/>
      <c r="S19" s="79"/>
      <c r="T19" s="79"/>
      <c r="U19" s="79"/>
      <c r="V19" s="79"/>
      <c r="W19" s="79"/>
      <c r="X19" s="79"/>
      <c r="Y19" s="79"/>
    </row>
    <row r="20" customFormat="false" ht="15" hidden="false" customHeight="true" outlineLevel="0" collapsed="false">
      <c r="A20" s="11" t="s">
        <v>277</v>
      </c>
      <c r="C20" s="19" t="n">
        <f aca="false">C9-C19</f>
        <v>0</v>
      </c>
      <c r="D20" s="19" t="n">
        <f aca="false">D9-D19</f>
        <v>0</v>
      </c>
      <c r="E20" s="19" t="n">
        <f aca="false">E9-E19</f>
        <v>0</v>
      </c>
      <c r="F20" s="19" t="n">
        <f aca="false">F9-F19</f>
        <v>0</v>
      </c>
      <c r="G20" s="19" t="n">
        <f aca="false">G9-G19</f>
        <v>0</v>
      </c>
      <c r="H20" s="19"/>
      <c r="I20" s="19"/>
      <c r="J20" s="19"/>
      <c r="K20" s="19"/>
      <c r="L20" s="19"/>
      <c r="M20" s="19"/>
      <c r="N20" s="19"/>
      <c r="O20" s="19"/>
      <c r="P20" s="19"/>
      <c r="Q20" s="19"/>
      <c r="R20" s="19"/>
      <c r="S20" s="19"/>
      <c r="T20" s="19"/>
      <c r="U20" s="19"/>
      <c r="V20" s="19"/>
      <c r="W20" s="19"/>
      <c r="X20" s="19"/>
      <c r="Y20" s="19"/>
    </row>
    <row r="21" customFormat="false" ht="15" hidden="false" customHeight="true" outlineLevel="0" collapsed="false">
      <c r="A21" s="93" t="s">
        <v>303</v>
      </c>
    </row>
    <row r="22" customFormat="false" ht="15" hidden="false" customHeight="true" outlineLevel="0" collapsed="false">
      <c r="A22" s="93" t="s">
        <v>304</v>
      </c>
      <c r="C22" s="19" t="n">
        <f aca="false">'Income Statement'!C4</f>
        <v>22.2806</v>
      </c>
      <c r="D22" s="19" t="n">
        <f aca="false">C22+'Income Statement'!D4</f>
        <v>49.0611</v>
      </c>
      <c r="E22" s="19" t="n">
        <f aca="false">D22+'Income Statement'!E4</f>
        <v>80.9713</v>
      </c>
      <c r="F22" s="19" t="n">
        <f aca="false">E22+'Income Statement'!F4</f>
        <v>118.7297</v>
      </c>
      <c r="G22" s="19" t="n">
        <f aca="false">F22+'Income Statement'!G4</f>
        <v>163.1551</v>
      </c>
      <c r="H22" s="19"/>
      <c r="I22" s="19"/>
      <c r="J22" s="19"/>
      <c r="K22" s="19"/>
      <c r="L22" s="19"/>
      <c r="M22" s="19"/>
      <c r="N22" s="19"/>
      <c r="O22" s="19"/>
      <c r="P22" s="19"/>
      <c r="Q22" s="19"/>
      <c r="R22" s="19"/>
      <c r="S22" s="19"/>
      <c r="T22" s="19"/>
      <c r="U22" s="19"/>
      <c r="V22" s="19"/>
      <c r="W22" s="19"/>
      <c r="X22" s="19"/>
      <c r="Y22" s="19"/>
    </row>
    <row r="23" customFormat="false" ht="15" hidden="false" customHeight="true" outlineLevel="0" collapsed="false">
      <c r="A23" s="93" t="s">
        <v>305</v>
      </c>
      <c r="C23" s="19" t="n">
        <f aca="false">'Project Cash Flows'!C6</f>
        <v>14.5324</v>
      </c>
      <c r="D23" s="19" t="n">
        <f aca="false">C23+'Project Cash Flows'!D6</f>
        <v>32.3737</v>
      </c>
      <c r="E23" s="19" t="n">
        <f aca="false">D23+'Project Cash Flows'!E6</f>
        <v>53.9869</v>
      </c>
      <c r="F23" s="19" t="n">
        <f aca="false">E23+'Project Cash Flows'!F6</f>
        <v>79.9005</v>
      </c>
      <c r="G23" s="19" t="n">
        <f aca="false">F23+'Project Cash Flows'!G6</f>
        <v>110.7162</v>
      </c>
      <c r="H23" s="19"/>
      <c r="I23" s="19"/>
      <c r="J23" s="19"/>
      <c r="K23" s="19"/>
      <c r="L23" s="19"/>
      <c r="M23" s="19"/>
      <c r="N23" s="19"/>
      <c r="O23" s="19"/>
      <c r="P23" s="19"/>
      <c r="Q23" s="19"/>
      <c r="R23" s="19"/>
      <c r="S23" s="19"/>
      <c r="T23" s="19"/>
      <c r="U23" s="19"/>
      <c r="V23" s="19"/>
      <c r="W23" s="19"/>
      <c r="X23" s="19"/>
      <c r="Y23" s="19"/>
    </row>
    <row r="24" customFormat="false" ht="15" hidden="false" customHeight="true" outlineLevel="0" collapsed="false">
      <c r="A24" s="93" t="s">
        <v>306</v>
      </c>
      <c r="C24" s="19" t="n">
        <f aca="false">Assumptions!$B$24+C22-C23</f>
        <v>-41.1518</v>
      </c>
      <c r="D24" s="19" t="n">
        <f aca="false">Assumptions!$B$24+D22-D23</f>
        <v>-32.2126</v>
      </c>
      <c r="E24" s="19" t="n">
        <f aca="false">Assumptions!$B$24+E22-E23</f>
        <v>-21.9156</v>
      </c>
      <c r="F24" s="19" t="n">
        <f aca="false">Assumptions!$B$24+F22-F23</f>
        <v>-10.0708</v>
      </c>
      <c r="G24" s="19" t="n">
        <f aca="false">Assumptions!$B$24+G22-G23</f>
        <v>3.53890000000001</v>
      </c>
      <c r="H24" s="19"/>
      <c r="I24" s="19"/>
      <c r="J24" s="19"/>
      <c r="K24" s="19"/>
      <c r="L24" s="19"/>
      <c r="M24" s="19"/>
      <c r="N24" s="19"/>
      <c r="O24" s="19"/>
      <c r="P24" s="19"/>
      <c r="Q24" s="19"/>
      <c r="R24" s="19"/>
      <c r="S24" s="19"/>
      <c r="T24" s="19"/>
      <c r="U24" s="19"/>
      <c r="V24" s="19"/>
      <c r="W24" s="19"/>
      <c r="X24" s="19"/>
      <c r="Y24" s="19"/>
    </row>
    <row r="25" customFormat="false" ht="15" hidden="false" customHeight="true" outlineLevel="0" collapsed="false">
      <c r="A25" s="93" t="s">
        <v>307</v>
      </c>
      <c r="C25" s="19" t="n">
        <f aca="false">Assumptions!$B$23+'Project Cash Flows'!C9+'Project Cash Flows'!C10-'Project Cash Flows'!C8</f>
        <v>68.1012</v>
      </c>
      <c r="D25" s="19" t="n">
        <f aca="false">C25+'Project Cash Flows'!D9+'Project Cash Flows'!D10-'Project Cash Flows'!D8</f>
        <v>57.6149</v>
      </c>
      <c r="E25" s="19" t="n">
        <f aca="false">D25+'Project Cash Flows'!E9+'Project Cash Flows'!E10-'Project Cash Flows'!E8</f>
        <v>44.6347</v>
      </c>
      <c r="F25" s="19" t="n">
        <f aca="false">E25+'Project Cash Flows'!F9+'Project Cash Flows'!F10-'Project Cash Flows'!F8</f>
        <v>28.8117</v>
      </c>
      <c r="G25" s="19" t="n">
        <f aca="false">F25+'Project Cash Flows'!G9+'Project Cash Flows'!G10-'Project Cash Flows'!G8</f>
        <v>9.74780000000001</v>
      </c>
      <c r="H25" s="19"/>
      <c r="I25" s="19"/>
      <c r="J25" s="19"/>
      <c r="K25" s="19"/>
      <c r="L25" s="19"/>
      <c r="M25" s="19"/>
      <c r="N25" s="19"/>
      <c r="O25" s="19"/>
      <c r="P25" s="19"/>
      <c r="Q25" s="19"/>
      <c r="R25" s="19"/>
      <c r="S25" s="19"/>
      <c r="T25" s="19"/>
      <c r="U25" s="19"/>
      <c r="V25" s="19"/>
      <c r="W25" s="19"/>
      <c r="X25" s="19"/>
      <c r="Y25" s="19"/>
    </row>
    <row r="27" customFormat="false" ht="15" hidden="false" customHeight="true" outlineLevel="0" collapsed="false">
      <c r="A27" s="10" t="s">
        <v>308</v>
      </c>
      <c r="B27" s="10"/>
      <c r="C27" s="10"/>
      <c r="D27" s="10"/>
      <c r="E27" s="88"/>
      <c r="F27" s="89"/>
    </row>
    <row r="28" customFormat="false" ht="15" hidden="false" customHeight="true" outlineLevel="0" collapsed="false">
      <c r="A28" s="51" t="s">
        <v>194</v>
      </c>
      <c r="B28" s="51" t="s">
        <v>244</v>
      </c>
      <c r="C28" s="51" t="s">
        <v>245</v>
      </c>
      <c r="D28" s="51" t="s">
        <v>246</v>
      </c>
      <c r="E28" s="89"/>
      <c r="F28" s="89"/>
    </row>
    <row r="29" customFormat="false" ht="15" hidden="false" customHeight="true" outlineLevel="0" collapsed="false">
      <c r="A29" s="11" t="s">
        <v>309</v>
      </c>
      <c r="B29" s="19" t="n">
        <v>9.59</v>
      </c>
      <c r="C29" s="19" t="n">
        <v>28.53</v>
      </c>
      <c r="D29" s="19" t="n">
        <v>30.542</v>
      </c>
      <c r="E29" s="89"/>
      <c r="F29" s="89"/>
    </row>
    <row r="30" customFormat="false" ht="15" hidden="false" customHeight="true" outlineLevel="0" collapsed="false">
      <c r="A30" s="11" t="s">
        <v>310</v>
      </c>
      <c r="B30" s="19" t="n">
        <v>5.256</v>
      </c>
      <c r="C30" s="19" t="n">
        <v>5.604</v>
      </c>
      <c r="D30" s="19" t="n">
        <v>12.032</v>
      </c>
      <c r="E30" s="89"/>
      <c r="F30" s="89"/>
    </row>
    <row r="31" customFormat="false" ht="15" hidden="false" customHeight="true" outlineLevel="0" collapsed="false">
      <c r="A31" s="11" t="s">
        <v>311</v>
      </c>
      <c r="B31" s="19" t="n">
        <v>9.843</v>
      </c>
      <c r="C31" s="19" t="n">
        <v>11.073</v>
      </c>
      <c r="D31" s="19" t="n">
        <v>11.426</v>
      </c>
      <c r="E31" s="89"/>
      <c r="F31" s="89"/>
    </row>
    <row r="32" customFormat="false" ht="15" hidden="false" customHeight="true" outlineLevel="0" collapsed="false">
      <c r="A32" s="11" t="s">
        <v>312</v>
      </c>
      <c r="B32" s="19" t="n">
        <v>36.819</v>
      </c>
      <c r="C32" s="19" t="n">
        <v>61.747</v>
      </c>
      <c r="D32" s="19" t="n">
        <v>76.412</v>
      </c>
      <c r="E32" s="89"/>
      <c r="F32" s="89"/>
    </row>
    <row r="33" customFormat="false" ht="15" hidden="false" customHeight="true" outlineLevel="0" collapsed="false">
      <c r="A33" s="11" t="s">
        <v>313</v>
      </c>
      <c r="B33" s="19" t="n">
        <v>14.137</v>
      </c>
      <c r="C33" s="19" t="n">
        <v>23.353</v>
      </c>
      <c r="D33" s="19" t="n">
        <v>43.082</v>
      </c>
      <c r="E33" s="89"/>
      <c r="F33" s="89"/>
    </row>
    <row r="34" customFormat="false" ht="15" hidden="false" customHeight="true" outlineLevel="0" collapsed="false">
      <c r="A34" s="11" t="s">
        <v>314</v>
      </c>
      <c r="B34" s="19" t="n">
        <v>75.645</v>
      </c>
      <c r="C34" s="19" t="n">
        <v>130.307</v>
      </c>
      <c r="D34" s="19" t="n">
        <v>173.494</v>
      </c>
      <c r="E34" s="89"/>
      <c r="F34" s="89"/>
    </row>
    <row r="35" customFormat="false" ht="15" hidden="false" customHeight="true" outlineLevel="0" collapsed="false">
      <c r="A35" s="11" t="s">
        <v>315</v>
      </c>
      <c r="B35" s="19" t="n">
        <v>8.732</v>
      </c>
      <c r="C35" s="19" t="n">
        <v>9.456</v>
      </c>
      <c r="D35" s="19" t="n">
        <v>9.919</v>
      </c>
      <c r="E35" s="89"/>
      <c r="F35" s="89"/>
    </row>
    <row r="36" customFormat="false" ht="15" hidden="false" customHeight="true" outlineLevel="0" collapsed="false">
      <c r="A36" s="11" t="s">
        <v>316</v>
      </c>
      <c r="B36" s="19" t="n">
        <v>2.888</v>
      </c>
      <c r="C36" s="19" t="n">
        <v>8.758</v>
      </c>
      <c r="D36" s="19" t="n">
        <v>8.607</v>
      </c>
      <c r="E36" s="89"/>
      <c r="F36" s="89"/>
    </row>
    <row r="37" customFormat="false" ht="15" hidden="false" customHeight="true" outlineLevel="0" collapsed="false">
      <c r="A37" s="11" t="s">
        <v>292</v>
      </c>
      <c r="B37" s="19" t="n">
        <v>87.265</v>
      </c>
      <c r="C37" s="19" t="n">
        <v>148.521</v>
      </c>
      <c r="D37" s="19" t="n">
        <v>192.02</v>
      </c>
      <c r="E37" s="89"/>
      <c r="F37" s="89"/>
    </row>
    <row r="38" customFormat="false" ht="15" hidden="false" customHeight="true" outlineLevel="0" collapsed="false">
      <c r="A38" s="11" t="s">
        <v>317</v>
      </c>
      <c r="B38" s="19" t="n">
        <v>23.854</v>
      </c>
      <c r="C38" s="19" t="n">
        <v>39.117</v>
      </c>
      <c r="D38" s="19" t="n">
        <v>60.273</v>
      </c>
      <c r="E38" s="89"/>
      <c r="F38" s="89"/>
    </row>
    <row r="39" customFormat="false" ht="15" hidden="false" customHeight="true" outlineLevel="0" collapsed="false">
      <c r="A39" s="11" t="s">
        <v>318</v>
      </c>
      <c r="B39" s="19" t="n">
        <v>1.767</v>
      </c>
      <c r="C39" s="19" t="n">
        <v>3.949</v>
      </c>
      <c r="D39" s="19" t="n">
        <v>7.753</v>
      </c>
      <c r="E39" s="89"/>
      <c r="F39" s="89"/>
    </row>
    <row r="40" customFormat="false" ht="15" hidden="false" customHeight="true" outlineLevel="0" collapsed="false">
      <c r="A40" s="11" t="s">
        <v>319</v>
      </c>
      <c r="B40" s="19" t="n">
        <v>1.197</v>
      </c>
      <c r="C40" s="19" t="n">
        <v>0.316</v>
      </c>
      <c r="D40" s="19" t="n">
        <v>0.076</v>
      </c>
      <c r="E40" s="89"/>
      <c r="F40" s="89"/>
    </row>
    <row r="41" customFormat="false" ht="15" hidden="false" customHeight="true" outlineLevel="0" collapsed="false">
      <c r="A41" s="11" t="s">
        <v>320</v>
      </c>
      <c r="B41" s="19" t="n">
        <v>24.733</v>
      </c>
      <c r="C41" s="19" t="n">
        <v>44.405</v>
      </c>
      <c r="D41" s="19" t="n">
        <v>57.639</v>
      </c>
      <c r="E41" s="89"/>
      <c r="F41" s="89"/>
    </row>
    <row r="42" customFormat="false" ht="15" hidden="false" customHeight="false" outlineLevel="0" collapsed="false">
      <c r="A42" s="35" t="s">
        <v>298</v>
      </c>
      <c r="B42" s="91" t="n">
        <v>51.551</v>
      </c>
      <c r="C42" s="91" t="n">
        <v>87.787</v>
      </c>
      <c r="D42" s="91" t="n">
        <v>125.741</v>
      </c>
      <c r="E42" s="89"/>
      <c r="F42" s="89"/>
    </row>
    <row r="43" customFormat="false" ht="15" hidden="false" customHeight="false" outlineLevel="0" collapsed="false">
      <c r="A43" s="35" t="s">
        <v>301</v>
      </c>
      <c r="B43" s="91" t="n">
        <v>35.714</v>
      </c>
      <c r="C43" s="91" t="n">
        <v>60.734</v>
      </c>
      <c r="D43" s="91" t="n">
        <v>66.279</v>
      </c>
      <c r="E43" s="89"/>
      <c r="F43" s="89"/>
    </row>
    <row r="44" customFormat="false" ht="15" hidden="false" customHeight="false" outlineLevel="0" collapsed="false">
      <c r="A44" s="35" t="s">
        <v>302</v>
      </c>
      <c r="B44" s="91" t="n">
        <v>87.265</v>
      </c>
      <c r="C44" s="91" t="n">
        <v>148.521</v>
      </c>
      <c r="D44" s="91" t="n">
        <v>192.02</v>
      </c>
      <c r="E44" s="89"/>
      <c r="F44" s="89"/>
    </row>
    <row r="45" customFormat="false" ht="15" hidden="false" customHeight="false" outlineLevel="0" collapsed="false">
      <c r="A45" s="35"/>
      <c r="B45" s="89"/>
      <c r="C45" s="89"/>
      <c r="D45" s="89"/>
      <c r="E45" s="89"/>
      <c r="F45" s="89"/>
    </row>
    <row r="46" customFormat="false" ht="15" hidden="false" customHeight="false" outlineLevel="0" collapsed="false">
      <c r="A46" s="35" t="s">
        <v>321</v>
      </c>
      <c r="B46" s="91" t="n">
        <v>7.88</v>
      </c>
      <c r="C46" s="91" t="n">
        <v>11.15</v>
      </c>
      <c r="D46" s="91" t="n">
        <v>12.17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4" min="2" style="1" width="16"/>
    <col collapsed="false" customWidth="true" hidden="false" outlineLevel="0" max="5" min="5" style="1" width="2"/>
    <col collapsed="false" customWidth="true" hidden="false" outlineLevel="0" max="6" min="6" style="1" width="52"/>
  </cols>
  <sheetData>
    <row r="1" customFormat="false" ht="15.75" hidden="false" customHeight="true" outlineLevel="0" collapsed="false">
      <c r="A1" s="7" t="s">
        <v>322</v>
      </c>
    </row>
    <row r="2" customFormat="false" ht="39.75" hidden="false" customHeight="true" outlineLevel="0" collapsed="false">
      <c r="A2" s="94" t="s">
        <v>323</v>
      </c>
    </row>
    <row r="4" customFormat="false" ht="15" hidden="false" customHeight="true" outlineLevel="0" collapsed="false">
      <c r="A4" s="95" t="s">
        <v>324</v>
      </c>
      <c r="B4" s="96" t="s">
        <v>325</v>
      </c>
      <c r="C4" s="96" t="s">
        <v>326</v>
      </c>
      <c r="D4" s="96" t="s">
        <v>327</v>
      </c>
    </row>
    <row r="5" customFormat="false" ht="15" hidden="false" customHeight="true" outlineLevel="0" collapsed="false">
      <c r="A5" s="97" t="s">
        <v>328</v>
      </c>
      <c r="B5" s="98" t="n">
        <v>4.2</v>
      </c>
      <c r="C5" s="98" t="n">
        <v>2.1</v>
      </c>
      <c r="D5" s="99" t="n">
        <f aca="false">B5+C5</f>
        <v>6.3</v>
      </c>
    </row>
    <row r="6" customFormat="false" ht="15" hidden="false" customHeight="true" outlineLevel="0" collapsed="false">
      <c r="A6" s="97" t="s">
        <v>329</v>
      </c>
      <c r="B6" s="100" t="n">
        <v>0.452380952380952</v>
      </c>
      <c r="C6" s="100" t="n">
        <v>0.452380952380952</v>
      </c>
      <c r="D6" s="101" t="n">
        <f aca="false">D7/D5</f>
        <v>0.452380952380952</v>
      </c>
    </row>
    <row r="7" customFormat="false" ht="15" hidden="false" customHeight="true" outlineLevel="0" collapsed="false">
      <c r="A7" s="97" t="s">
        <v>330</v>
      </c>
      <c r="B7" s="102" t="n">
        <f aca="false">B5*B6</f>
        <v>1.9</v>
      </c>
      <c r="C7" s="102" t="n">
        <f aca="false">C5*C6</f>
        <v>0.949999999999999</v>
      </c>
      <c r="D7" s="102" t="n">
        <f aca="false">B7+C7</f>
        <v>2.85</v>
      </c>
    </row>
    <row r="8" customFormat="false" ht="15" hidden="false" customHeight="true" outlineLevel="0" collapsed="false">
      <c r="A8" s="97" t="s">
        <v>331</v>
      </c>
      <c r="B8" s="103" t="n">
        <v>6.5</v>
      </c>
      <c r="C8" s="103" t="n">
        <v>7.5</v>
      </c>
      <c r="D8" s="99" t="n">
        <f aca="false">D9/D7</f>
        <v>6.83333333333333</v>
      </c>
    </row>
    <row r="9" customFormat="false" ht="15" hidden="false" customHeight="true" outlineLevel="0" collapsed="false">
      <c r="A9" s="97" t="s">
        <v>332</v>
      </c>
      <c r="B9" s="104" t="n">
        <f aca="false">B7*B8</f>
        <v>12.35</v>
      </c>
      <c r="C9" s="104" t="n">
        <f aca="false">C7*C8</f>
        <v>7.12499999999999</v>
      </c>
      <c r="D9" s="104" t="n">
        <f aca="false">B9+C9</f>
        <v>19.475</v>
      </c>
    </row>
    <row r="10" customFormat="false" ht="15" hidden="false" customHeight="true" outlineLevel="0" collapsed="false">
      <c r="A10" s="97" t="s">
        <v>333</v>
      </c>
      <c r="B10" s="105" t="n">
        <v>0.8</v>
      </c>
      <c r="C10" s="105" t="n">
        <v>0.85</v>
      </c>
      <c r="D10" s="106" t="n">
        <f aca="false">D11/D9</f>
        <v>0.818292682926829</v>
      </c>
    </row>
    <row r="11" customFormat="false" ht="15" hidden="false" customHeight="true" outlineLevel="0" collapsed="false">
      <c r="A11" s="107" t="s">
        <v>334</v>
      </c>
      <c r="B11" s="108" t="n">
        <f aca="false">B9*B10</f>
        <v>9.87999999999999</v>
      </c>
      <c r="C11" s="108" t="n">
        <f aca="false">C9*C10</f>
        <v>6.05624999999999</v>
      </c>
      <c r="D11" s="108" t="n">
        <f aca="false">B11+C11</f>
        <v>15.93625</v>
      </c>
    </row>
    <row r="12" customFormat="false" ht="15" hidden="false" customHeight="true" outlineLevel="0" collapsed="false">
      <c r="A12" s="97" t="s">
        <v>335</v>
      </c>
      <c r="B12" s="102" t="n">
        <f aca="false">B9/Assumptions!$B$4</f>
        <v>2.2673031026253</v>
      </c>
      <c r="C12" s="102" t="n">
        <f aca="false">C9/Assumptions!$B$4</f>
        <v>1.30805948228382</v>
      </c>
      <c r="D12" s="102" t="n">
        <f aca="false">D9/Assumptions!$B$4</f>
        <v>3.57536258490912</v>
      </c>
    </row>
    <row r="13" customFormat="false" ht="15" hidden="false" customHeight="true" outlineLevel="0" collapsed="false">
      <c r="A13" s="107" t="s">
        <v>336</v>
      </c>
      <c r="B13" s="109" t="n">
        <f aca="false">B11/Assumptions!$B$4</f>
        <v>1.81384248210024</v>
      </c>
      <c r="C13" s="109" t="n">
        <f aca="false">C11/Assumptions!$B$4</f>
        <v>1.11185055994125</v>
      </c>
      <c r="D13" s="109" t="n">
        <f aca="false">D11/Assumptions!$B$4</f>
        <v>2.92569304204149</v>
      </c>
    </row>
    <row r="15" customFormat="false" ht="15" hidden="false" customHeight="true" outlineLevel="0" collapsed="false">
      <c r="A15" s="110" t="s">
        <v>337</v>
      </c>
    </row>
    <row r="16" customFormat="false" ht="15" hidden="false" customHeight="true" outlineLevel="0" collapsed="false">
      <c r="A16" s="95" t="s">
        <v>338</v>
      </c>
      <c r="B16" s="95" t="s">
        <v>325</v>
      </c>
      <c r="C16" s="95" t="s">
        <v>326</v>
      </c>
    </row>
    <row r="17" customFormat="false" ht="30" hidden="false" customHeight="true" outlineLevel="0" collapsed="false">
      <c r="A17" s="111" t="s">
        <v>339</v>
      </c>
      <c r="B17" s="112" t="s">
        <v>340</v>
      </c>
      <c r="C17" s="112" t="s">
        <v>341</v>
      </c>
    </row>
    <row r="18" customFormat="false" ht="30" hidden="false" customHeight="true" outlineLevel="0" collapsed="false">
      <c r="A18" s="111" t="s">
        <v>342</v>
      </c>
      <c r="B18" s="113" t="s">
        <v>343</v>
      </c>
      <c r="C18" s="113" t="s">
        <v>344</v>
      </c>
    </row>
    <row r="19" customFormat="false" ht="30" hidden="false" customHeight="true" outlineLevel="0" collapsed="false">
      <c r="A19" s="111" t="s">
        <v>345</v>
      </c>
      <c r="B19" s="113" t="s">
        <v>346</v>
      </c>
      <c r="C19" s="113" t="s">
        <v>347</v>
      </c>
    </row>
    <row r="20" customFormat="false" ht="30" hidden="false" customHeight="true" outlineLevel="0" collapsed="false">
      <c r="A20" s="111" t="s">
        <v>348</v>
      </c>
      <c r="B20" s="113" t="s">
        <v>349</v>
      </c>
      <c r="C20" s="113" t="s">
        <v>350</v>
      </c>
    </row>
    <row r="21" customFormat="false" ht="30" hidden="false" customHeight="true" outlineLevel="0" collapsed="false">
      <c r="A21" s="111" t="s">
        <v>351</v>
      </c>
      <c r="B21" s="113" t="s">
        <v>352</v>
      </c>
      <c r="C21" s="113" t="s">
        <v>353</v>
      </c>
    </row>
    <row r="23" customFormat="false" ht="45.75" hidden="false" customHeight="true" outlineLevel="0" collapsed="false">
      <c r="A23" s="114" t="s">
        <v>354</v>
      </c>
      <c r="B23" s="114"/>
      <c r="C23" s="114"/>
      <c r="D23" s="114"/>
    </row>
    <row r="25" customFormat="false" ht="15" hidden="false" customHeight="true" outlineLevel="0" collapsed="false">
      <c r="A25" s="11" t="s">
        <v>355</v>
      </c>
    </row>
    <row r="26" customFormat="false" ht="15" hidden="false" customHeight="true" outlineLevel="0" collapsed="false">
      <c r="A26" s="72"/>
      <c r="B26" s="72"/>
      <c r="C26" s="72"/>
      <c r="D26" s="72"/>
    </row>
    <row r="27" customFormat="false" ht="15" hidden="false" customHeight="true" outlineLevel="0" collapsed="false">
      <c r="A27" s="48"/>
      <c r="B27" s="115"/>
      <c r="C27" s="116"/>
      <c r="D27" s="117"/>
    </row>
    <row r="28" customFormat="false" ht="15" hidden="false" customHeight="true" outlineLevel="0" collapsed="false">
      <c r="A28" s="48"/>
      <c r="B28" s="115"/>
      <c r="C28" s="116"/>
      <c r="D28" s="117"/>
    </row>
    <row r="29" customFormat="false" ht="15" hidden="false" customHeight="true" outlineLevel="0" collapsed="false">
      <c r="A29" s="48"/>
      <c r="B29" s="115"/>
      <c r="C29" s="116"/>
      <c r="D29" s="117"/>
    </row>
    <row r="30" customFormat="false" ht="15" hidden="false" customHeight="true" outlineLevel="0" collapsed="false">
      <c r="A30" s="48"/>
      <c r="B30" s="118"/>
      <c r="C30" s="119"/>
      <c r="D30" s="117"/>
    </row>
    <row r="31" customFormat="false" ht="15" hidden="false" customHeight="true" outlineLevel="0" collapsed="false">
      <c r="A31" s="120"/>
      <c r="B31" s="121"/>
      <c r="C31" s="122"/>
      <c r="D31" s="123"/>
    </row>
  </sheetData>
  <mergeCells count="1">
    <mergeCell ref="A23:D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16"/>
    <col collapsed="false" customWidth="true" hidden="false" outlineLevel="0" max="3" min="3" style="1" width="14"/>
    <col collapsed="false" customWidth="true" hidden="false" outlineLevel="0" max="4" min="4" style="1" width="18"/>
    <col collapsed="false" customWidth="true" hidden="false" outlineLevel="0" max="25" min="5" style="1" width="9"/>
  </cols>
  <sheetData>
    <row r="1" customFormat="false" ht="15.75" hidden="false" customHeight="true" outlineLevel="0" collapsed="false">
      <c r="A1" s="7" t="s">
        <v>356</v>
      </c>
      <c r="B1" s="8"/>
      <c r="C1" s="8"/>
      <c r="D1" s="8"/>
      <c r="E1" s="8"/>
      <c r="F1" s="8"/>
      <c r="G1" s="8"/>
      <c r="H1" s="8"/>
      <c r="I1" s="8"/>
      <c r="J1" s="8"/>
      <c r="K1" s="8"/>
      <c r="L1" s="8"/>
      <c r="M1" s="8"/>
      <c r="N1" s="8"/>
      <c r="O1" s="8"/>
      <c r="P1" s="8"/>
      <c r="Q1" s="8"/>
      <c r="R1" s="8"/>
      <c r="S1" s="8"/>
      <c r="T1" s="8"/>
      <c r="U1" s="8"/>
      <c r="V1" s="8"/>
      <c r="W1" s="8"/>
      <c r="X1" s="8"/>
      <c r="Y1" s="8"/>
    </row>
    <row r="2" customFormat="false" ht="15" hidden="false" customHeight="true" outlineLevel="0" collapsed="false">
      <c r="A2" s="87" t="s">
        <v>357</v>
      </c>
      <c r="B2" s="8"/>
      <c r="C2" s="8"/>
      <c r="D2" s="8"/>
      <c r="E2" s="8"/>
      <c r="F2" s="8"/>
      <c r="G2" s="8"/>
      <c r="H2" s="8"/>
      <c r="I2" s="8"/>
      <c r="J2" s="8"/>
      <c r="K2" s="8"/>
      <c r="L2" s="8"/>
      <c r="M2" s="8"/>
      <c r="N2" s="8"/>
      <c r="O2" s="8"/>
      <c r="P2" s="8"/>
      <c r="Q2" s="8"/>
      <c r="R2" s="8"/>
      <c r="S2" s="8"/>
      <c r="T2" s="8"/>
      <c r="U2" s="8"/>
      <c r="V2" s="8"/>
      <c r="W2" s="8"/>
      <c r="X2" s="8"/>
      <c r="Y2" s="8"/>
    </row>
    <row r="3" customFormat="false" ht="15" hidden="false" customHeight="true" outlineLevel="0" collapsed="false">
      <c r="A3" s="51" t="s">
        <v>194</v>
      </c>
      <c r="C3" s="85" t="s">
        <v>206</v>
      </c>
      <c r="D3" s="85" t="s">
        <v>207</v>
      </c>
      <c r="E3" s="85" t="s">
        <v>208</v>
      </c>
      <c r="F3" s="85" t="s">
        <v>209</v>
      </c>
      <c r="G3" s="85" t="s">
        <v>210</v>
      </c>
      <c r="H3" s="85" t="s">
        <v>211</v>
      </c>
      <c r="I3" s="85" t="s">
        <v>212</v>
      </c>
      <c r="J3" s="85" t="s">
        <v>213</v>
      </c>
      <c r="K3" s="85" t="s">
        <v>214</v>
      </c>
      <c r="L3" s="85" t="s">
        <v>215</v>
      </c>
      <c r="M3" s="85" t="s">
        <v>216</v>
      </c>
      <c r="N3" s="85" t="s">
        <v>217</v>
      </c>
      <c r="O3" s="85" t="s">
        <v>218</v>
      </c>
      <c r="P3" s="85" t="s">
        <v>219</v>
      </c>
      <c r="Q3" s="85" t="s">
        <v>220</v>
      </c>
      <c r="R3" s="85" t="s">
        <v>221</v>
      </c>
      <c r="S3" s="85" t="s">
        <v>222</v>
      </c>
      <c r="T3" s="85" t="s">
        <v>223</v>
      </c>
      <c r="U3" s="85" t="s">
        <v>224</v>
      </c>
      <c r="V3" s="85" t="s">
        <v>225</v>
      </c>
      <c r="W3" s="85" t="s">
        <v>226</v>
      </c>
      <c r="X3" s="85" t="s">
        <v>227</v>
      </c>
      <c r="Y3" s="85" t="s">
        <v>228</v>
      </c>
    </row>
    <row r="4" customFormat="false" ht="15" hidden="false" customHeight="true" outlineLevel="0" collapsed="false">
      <c r="A4" s="77" t="s">
        <v>358</v>
      </c>
      <c r="C4" s="19" t="n">
        <f aca="false">'Project Cash Flows'!C6-'Project Cash Flows'!C9-'Project Cash Flows'!C10-'Project Cash Flows'!C11-'Income Statement'!C4*Assumptions!$B$18-MAX('Income Statement'!C13,0)*Assumptions!$B$11</f>
        <v>4.987252425</v>
      </c>
      <c r="D4" s="19" t="n">
        <f aca="false">'Project Cash Flows'!D6-'Project Cash Flows'!D9-'Project Cash Flows'!D10-'Project Cash Flows'!D11-'Income Statement'!D4*Assumptions!$B$18-MAX('Income Statement'!D13,0)*Assumptions!$B$11</f>
        <v>6.7221236875</v>
      </c>
      <c r="E4" s="19" t="n">
        <f aca="false">'Project Cash Flows'!E6-'Project Cash Flows'!E9-'Project Cash Flows'!E10-'Project Cash Flows'!E11-'Income Statement'!E4*Assumptions!$B$18-MAX('Income Statement'!E13,0)*Assumptions!$B$11</f>
        <v>8.699766225</v>
      </c>
      <c r="F4" s="19" t="n">
        <f aca="false">'Project Cash Flows'!F6-'Project Cash Flows'!F9-'Project Cash Flows'!F10-'Project Cash Flows'!F11-'Income Statement'!F4*Assumptions!$B$18-MAX('Income Statement'!F13,0)*Assumptions!$B$11</f>
        <v>10.9544327</v>
      </c>
      <c r="G4" s="19" t="n">
        <f aca="false">'Project Cash Flows'!G6-'Project Cash Flows'!G9-'Project Cash Flows'!G10-'Project Cash Flows'!G11-'Income Statement'!G4*Assumptions!$B$18-MAX('Income Statement'!G13,0)*Assumptions!$B$11</f>
        <v>13.524366825</v>
      </c>
      <c r="H4" s="19" t="n">
        <f aca="false">'Project Cash Flows'!H6-'Project Cash Flows'!H9-'Project Cash Flows'!H10-'Project Cash Flows'!H11-'Income Statement'!H4*Assumptions!$B$18-MAX('Income Statement'!H13,0)*Assumptions!$B$11</f>
        <v>16.67374535</v>
      </c>
      <c r="I4" s="19" t="n">
        <f aca="false">'Project Cash Flows'!I6-'Project Cash Flows'!I9-'Project Cash Flows'!I10-'Project Cash Flows'!I11-'Income Statement'!I4*Assumptions!$B$18-MAX('Income Statement'!I13,0)*Assumptions!$B$11</f>
        <v>15.6272561375</v>
      </c>
      <c r="J4" s="19" t="n">
        <f aca="false">'Project Cash Flows'!J6-'Project Cash Flows'!J9-'Project Cash Flows'!J10-'Project Cash Flows'!J11-'Income Statement'!J4*Assumptions!$B$18-MAX('Income Statement'!J13,0)*Assumptions!$B$11</f>
        <v>20.0953317875</v>
      </c>
      <c r="K4" s="19" t="n">
        <f aca="false">'Project Cash Flows'!K6-'Project Cash Flows'!K9-'Project Cash Flows'!K10-'Project Cash Flows'!K11-'Income Statement'!K4*Assumptions!$B$18-MAX('Income Statement'!K13,0)*Assumptions!$B$11</f>
        <v>24.0340975625</v>
      </c>
      <c r="L4" s="19" t="n">
        <f aca="false">'Project Cash Flows'!L6-'Project Cash Flows'!L9-'Project Cash Flows'!L10-'Project Cash Flows'!L11-'Income Statement'!L4*Assumptions!$B$18-MAX('Income Statement'!L13,0)*Assumptions!$B$11</f>
        <v>23.7758425375</v>
      </c>
      <c r="M4" s="19" t="n">
        <f aca="false">'Project Cash Flows'!M6-'Project Cash Flows'!M9-'Project Cash Flows'!M10-'Project Cash Flows'!M11-'Income Statement'!M4*Assumptions!$B$18-MAX('Income Statement'!M13,0)*Assumptions!$B$11</f>
        <v>22.6884876125</v>
      </c>
      <c r="N4" s="19" t="n">
        <f aca="false">'Project Cash Flows'!N6-'Project Cash Flows'!N9-'Project Cash Flows'!N10-'Project Cash Flows'!N11-'Income Statement'!N4*Assumptions!$B$18-MAX('Income Statement'!N13,0)*Assumptions!$B$11</f>
        <v>20.9677836375</v>
      </c>
      <c r="O4" s="19" t="n">
        <f aca="false">'Project Cash Flows'!O6-'Project Cash Flows'!O9-'Project Cash Flows'!O10-'Project Cash Flows'!O11-'Income Statement'!O4*Assumptions!$B$18-MAX('Income Statement'!O13,0)*Assumptions!$B$11</f>
        <v>19.2283183375</v>
      </c>
      <c r="P4" s="19" t="n">
        <f aca="false">'Project Cash Flows'!P6-'Project Cash Flows'!P9-'Project Cash Flows'!P10-'Project Cash Flows'!P11-'Income Statement'!P4*Assumptions!$B$18-MAX('Income Statement'!P13,0)*Assumptions!$B$11</f>
        <v>15.433590725</v>
      </c>
      <c r="Q4" s="19" t="n">
        <f aca="false">'Project Cash Flows'!Q6-'Project Cash Flows'!Q9-'Project Cash Flows'!Q10-'Project Cash Flows'!Q11-'Income Statement'!Q4*Assumptions!$B$18-MAX('Income Statement'!Q13,0)*Assumptions!$B$11</f>
        <v>11.1076893</v>
      </c>
      <c r="R4" s="19" t="n">
        <f aca="false">'Project Cash Flows'!R6-'Project Cash Flows'!R9-'Project Cash Flows'!R10-'Project Cash Flows'!R11-'Income Statement'!R4*Assumptions!$B$18-MAX('Income Statement'!R13,0)*Assumptions!$B$11</f>
        <v>6.2142758625</v>
      </c>
      <c r="S4" s="19" t="n">
        <f aca="false">'Project Cash Flows'!S6-'Project Cash Flows'!S9-'Project Cash Flows'!S10-'Project Cash Flows'!S11-'Income Statement'!S4*Assumptions!$B$18-MAX('Income Statement'!S13,0)*Assumptions!$B$11</f>
        <v>2.7167076</v>
      </c>
      <c r="T4" s="19" t="n">
        <f aca="false">'Project Cash Flows'!T6-'Project Cash Flows'!T9-'Project Cash Flows'!T10-'Project Cash Flows'!T11-'Income Statement'!T4*Assumptions!$B$18-MAX('Income Statement'!T13,0)*Assumptions!$B$11</f>
        <v>0.8531859125</v>
      </c>
      <c r="U4" s="19" t="n">
        <f aca="false">'Project Cash Flows'!U6-'Project Cash Flows'!U9-'Project Cash Flows'!U10-'Project Cash Flows'!U11-'Income Statement'!U4*Assumptions!$B$18-MAX('Income Statement'!U13,0)*Assumptions!$B$11</f>
        <v>0.2407808</v>
      </c>
      <c r="V4" s="19" t="n">
        <f aca="false">'Project Cash Flows'!V6-'Project Cash Flows'!V9-'Project Cash Flows'!V10-'Project Cash Flows'!V11-'Income Statement'!V4*Assumptions!$B$18-MAX('Income Statement'!V13,0)*Assumptions!$B$11</f>
        <v>-0.45731055</v>
      </c>
      <c r="W4" s="19" t="n">
        <f aca="false">'Project Cash Flows'!W6-'Project Cash Flows'!W9-'Project Cash Flows'!W10-'Project Cash Flows'!W11-'Income Statement'!W4*Assumptions!$B$18-MAX('Income Statement'!W13,0)*Assumptions!$B$11</f>
        <v>-1.2531120875</v>
      </c>
      <c r="X4" s="19" t="n">
        <f aca="false">'Project Cash Flows'!X6-'Project Cash Flows'!X9-'Project Cash Flows'!X10-'Project Cash Flows'!X11-'Income Statement'!X4*Assumptions!$B$18-MAX('Income Statement'!X13,0)*Assumptions!$B$11</f>
        <v>-0.888806375</v>
      </c>
      <c r="Y4" s="19" t="n">
        <f aca="false">'Project Cash Flows'!Y6-'Project Cash Flows'!Y9-'Project Cash Flows'!Y10-'Project Cash Flows'!Y11-'Income Statement'!Y4*Assumptions!$B$18-MAX('Income Statement'!Y13,0)*Assumptions!$B$11</f>
        <v>-0.473480775</v>
      </c>
    </row>
    <row r="5" customFormat="false" ht="15" hidden="false" customHeight="true" outlineLevel="0" collapsed="false">
      <c r="A5" s="11" t="s">
        <v>359</v>
      </c>
      <c r="C5" s="124" t="n">
        <f aca="false">1/(1+Assumptions!$B$10)^1</f>
        <v>0.847457627118644</v>
      </c>
      <c r="D5" s="124" t="n">
        <f aca="false">1/(1+Assumptions!$B$10)^2</f>
        <v>0.718184429761563</v>
      </c>
      <c r="E5" s="124" t="n">
        <f aca="false">1/(1+Assumptions!$B$10)^3</f>
        <v>0.608630872679291</v>
      </c>
      <c r="F5" s="124" t="n">
        <f aca="false">1/(1+Assumptions!$B$10)^4</f>
        <v>0.515788875151941</v>
      </c>
      <c r="G5" s="124" t="n">
        <f aca="false">1/(1+Assumptions!$B$10)^5</f>
        <v>0.437109216230459</v>
      </c>
      <c r="H5" s="124" t="n">
        <f aca="false">1/(1+Assumptions!$B$10)^6</f>
        <v>0.370431539178355</v>
      </c>
      <c r="I5" s="124" t="n">
        <f aca="false">1/(1+Assumptions!$B$10)^7</f>
        <v>0.313925033201996</v>
      </c>
      <c r="J5" s="124" t="n">
        <f aca="false">1/(1+Assumptions!$B$10)^8</f>
        <v>0.266038163730505</v>
      </c>
      <c r="K5" s="124" t="n">
        <f aca="false">1/(1+Assumptions!$B$10)^9</f>
        <v>0.225456070958055</v>
      </c>
      <c r="L5" s="124" t="n">
        <f aca="false">1/(1+Assumptions!$B$10)^10</f>
        <v>0.191064466913606</v>
      </c>
      <c r="M5" s="124" t="n">
        <f aca="false">1/(1+Assumptions!$B$10)^11</f>
        <v>0.161919039757293</v>
      </c>
      <c r="N5" s="124" t="n">
        <f aca="false">1/(1+Assumptions!$B$10)^12</f>
        <v>0.137219525218045</v>
      </c>
      <c r="O5" s="124" t="n">
        <f aca="false">1/(1+Assumptions!$B$10)^13</f>
        <v>0.116287733235631</v>
      </c>
      <c r="P5" s="124" t="n">
        <f aca="false">1/(1+Assumptions!$B$10)^14</f>
        <v>0.0985489264708741</v>
      </c>
      <c r="Q5" s="124" t="n">
        <f aca="false">1/(1+Assumptions!$B$10)^15</f>
        <v>0.0835160393820967</v>
      </c>
      <c r="R5" s="124" t="n">
        <f aca="false">1/(1+Assumptions!$B$10)^16</f>
        <v>0.0707763045610989</v>
      </c>
      <c r="S5" s="124" t="n">
        <f aca="false">1/(1+Assumptions!$B$10)^17</f>
        <v>0.0599799191195753</v>
      </c>
      <c r="T5" s="124" t="n">
        <f aca="false">1/(1+Assumptions!$B$10)^18</f>
        <v>0.0508304399318435</v>
      </c>
      <c r="U5" s="124" t="n">
        <f aca="false">1/(1+Assumptions!$B$10)^19</f>
        <v>0.0430766440100369</v>
      </c>
      <c r="V5" s="124" t="n">
        <f aca="false">1/(1+Assumptions!$B$10)^20</f>
        <v>0.0365056305169804</v>
      </c>
      <c r="W5" s="124" t="n">
        <f aca="false">1/(1+Assumptions!$B$10)^21</f>
        <v>0.0309369750143902</v>
      </c>
      <c r="X5" s="124" t="n">
        <f aca="false">1/(1+Assumptions!$B$10)^22</f>
        <v>0.0262177754359239</v>
      </c>
      <c r="Y5" s="124" t="n">
        <f aca="false">1/(1+Assumptions!$B$10)^23</f>
        <v>0.0222184537592575</v>
      </c>
    </row>
    <row r="6" customFormat="false" ht="15" hidden="false" customHeight="true" outlineLevel="0" collapsed="false">
      <c r="A6" s="11" t="s">
        <v>360</v>
      </c>
      <c r="C6" s="19" t="n">
        <f aca="false">C4*C5</f>
        <v>4.22648510593221</v>
      </c>
      <c r="D6" s="19" t="n">
        <f aca="false">D4*D5</f>
        <v>4.82772456729388</v>
      </c>
      <c r="E6" s="19" t="n">
        <f aca="false">E4*E5</f>
        <v>5.29494630962757</v>
      </c>
      <c r="F6" s="19" t="n">
        <f aca="false">F4*F5</f>
        <v>5.65017452026064</v>
      </c>
      <c r="G6" s="19" t="n">
        <f aca="false">G4*G5</f>
        <v>5.91162538288896</v>
      </c>
      <c r="H6" s="19" t="n">
        <f aca="false">H4*H5</f>
        <v>6.17648115386844</v>
      </c>
      <c r="I6" s="19" t="n">
        <f aca="false">I4*I5</f>
        <v>4.90578690182078</v>
      </c>
      <c r="J6" s="19" t="n">
        <f aca="false">J4*J5</f>
        <v>5.34612516830174</v>
      </c>
      <c r="K6" s="19" t="n">
        <f aca="false">K4*K5</f>
        <v>5.41863320546381</v>
      </c>
      <c r="L6" s="19" t="n">
        <f aca="false">L4*L5</f>
        <v>4.54271867984927</v>
      </c>
      <c r="M6" s="19" t="n">
        <f aca="false">M4*M5</f>
        <v>3.67369812776124</v>
      </c>
      <c r="N6" s="19" t="n">
        <f aca="false">N4*N5</f>
        <v>2.87718931561244</v>
      </c>
      <c r="O6" s="19" t="n">
        <f aca="false">O4*O5</f>
        <v>2.236017553401</v>
      </c>
      <c r="P6" s="19" t="n">
        <f aca="false">P4*P5</f>
        <v>1.52096379753959</v>
      </c>
      <c r="Q6" s="19" t="n">
        <f aca="false">Q4*Q5</f>
        <v>0.927670217022894</v>
      </c>
      <c r="R6" s="19" t="n">
        <f aca="false">R4*R5</f>
        <v>0.439823481070985</v>
      </c>
      <c r="S6" s="19" t="n">
        <f aca="false">S4*S5</f>
        <v>0.162947902119536</v>
      </c>
      <c r="T6" s="19" t="n">
        <f aca="false">T4*T5</f>
        <v>0.0433678152760263</v>
      </c>
      <c r="U6" s="19" t="n">
        <f aca="false">U4*U5</f>
        <v>0.0103720288060519</v>
      </c>
      <c r="V6" s="19" t="n">
        <f aca="false">V4*V5</f>
        <v>-0.0166944099698171</v>
      </c>
      <c r="W6" s="19" t="n">
        <f aca="false">W4*W5</f>
        <v>-0.0387674973412178</v>
      </c>
      <c r="X6" s="19" t="n">
        <f aca="false">X4*X5</f>
        <v>-0.0233025259457675</v>
      </c>
      <c r="Y6" s="19" t="n">
        <f aca="false">Y4*Y5</f>
        <v>-0.0105200107052349</v>
      </c>
    </row>
    <row r="9" customFormat="false" ht="15" hidden="false" customHeight="true" outlineLevel="0" collapsed="false">
      <c r="A9" s="11" t="s">
        <v>361</v>
      </c>
      <c r="B9" s="19" t="n">
        <f aca="false">SUM(C6:Y6)</f>
        <v>64.103466789955</v>
      </c>
    </row>
    <row r="10" customFormat="false" ht="15" hidden="false" customHeight="true" outlineLevel="0" collapsed="false">
      <c r="A10" s="11" t="s">
        <v>362</v>
      </c>
      <c r="B10" s="19" t="n">
        <f aca="false">Assumptions!$B$22*(1+Assumptions!$B$21)/(Assumptions!$B$10-Assumptions!$B$21)*Y5</f>
        <v>2.15348090282034</v>
      </c>
    </row>
    <row r="11" customFormat="false" ht="15" hidden="false" customHeight="true" outlineLevel="0" collapsed="false">
      <c r="A11" s="77" t="s">
        <v>363</v>
      </c>
      <c r="B11" s="79" t="n">
        <f aca="false">B9+B10</f>
        <v>66.2569476927754</v>
      </c>
    </row>
    <row r="12" customFormat="false" ht="15" hidden="false" customHeight="true" outlineLevel="0" collapsed="false">
      <c r="A12" s="11" t="s">
        <v>364</v>
      </c>
      <c r="B12" s="19" t="n">
        <f aca="false">Assumptions!$B$31*Assumptions!$B$32</f>
        <v>12.35</v>
      </c>
    </row>
    <row r="13" customFormat="false" ht="15" hidden="false" customHeight="true" outlineLevel="0" collapsed="false">
      <c r="A13" s="11" t="s">
        <v>365</v>
      </c>
      <c r="B13" s="19" t="n">
        <f aca="false">Assumptions!$B$34*Assumptions!$B$35</f>
        <v>7.125</v>
      </c>
    </row>
    <row r="14" customFormat="false" ht="15" hidden="false" customHeight="true" outlineLevel="0" collapsed="false">
      <c r="A14" s="77" t="s">
        <v>366</v>
      </c>
      <c r="B14" s="79" t="n">
        <f aca="false">B11+B12+B13</f>
        <v>85.7319476927754</v>
      </c>
    </row>
    <row r="15" customFormat="false" ht="15" hidden="false" customHeight="true" outlineLevel="0" collapsed="false">
      <c r="A15" s="11" t="s">
        <v>367</v>
      </c>
      <c r="B15" s="117" t="n">
        <f aca="false">-Assumptions!$B$28*B12</f>
        <v>-0</v>
      </c>
    </row>
    <row r="16" customFormat="false" ht="15" hidden="false" customHeight="true" outlineLevel="0" collapsed="false">
      <c r="A16" s="11" t="s">
        <v>368</v>
      </c>
      <c r="B16" s="117" t="n">
        <f aca="false">Assumptions!B5*Assumptions!B29</f>
        <v>34.006</v>
      </c>
    </row>
    <row r="17" customFormat="false" ht="15" hidden="false" customHeight="true" outlineLevel="0" collapsed="false">
      <c r="A17" s="125" t="s">
        <v>369</v>
      </c>
      <c r="B17" s="126" t="n">
        <f aca="false">B14+B15+B16</f>
        <v>119.737947692775</v>
      </c>
    </row>
    <row r="18" customFormat="false" ht="15" hidden="false" customHeight="true" outlineLevel="0" collapsed="false">
      <c r="A18" s="11" t="s">
        <v>86</v>
      </c>
      <c r="B18" s="83" t="n">
        <f aca="false">Assumptions!$B$4</f>
        <v>5.447</v>
      </c>
    </row>
    <row r="19" customFormat="false" ht="15" hidden="false" customHeight="true" outlineLevel="0" collapsed="false">
      <c r="A19" s="127" t="s">
        <v>370</v>
      </c>
      <c r="B19" s="128" t="n">
        <f aca="false">B17/B18</f>
        <v>21.9823660166652</v>
      </c>
    </row>
    <row r="22" customFormat="false" ht="15" hidden="false" customHeight="true" outlineLevel="0" collapsed="false">
      <c r="A22" s="10" t="s">
        <v>371</v>
      </c>
      <c r="B22" s="50"/>
      <c r="C22" s="50"/>
      <c r="D22" s="50"/>
      <c r="E22" s="50"/>
    </row>
    <row r="23" customFormat="false" ht="15" hidden="false" customHeight="true" outlineLevel="0" collapsed="false">
      <c r="A23" s="51" t="s">
        <v>372</v>
      </c>
      <c r="B23" s="52" t="s">
        <v>373</v>
      </c>
      <c r="C23" s="52" t="s">
        <v>156</v>
      </c>
      <c r="D23" s="52" t="s">
        <v>374</v>
      </c>
    </row>
    <row r="24" customFormat="false" ht="15" hidden="false" customHeight="true" outlineLevel="0" collapsed="false">
      <c r="A24" s="11" t="s">
        <v>133</v>
      </c>
      <c r="B24" s="129" t="n">
        <v>1.4435</v>
      </c>
      <c r="C24" s="80" t="n">
        <f aca="false">Assumptions!$K$40</f>
        <v>0.9</v>
      </c>
      <c r="D24" s="129" t="n">
        <f aca="false">B24*C24</f>
        <v>1.29915</v>
      </c>
    </row>
    <row r="25" customFormat="false" ht="15" hidden="false" customHeight="true" outlineLevel="0" collapsed="false">
      <c r="A25" s="11" t="s">
        <v>135</v>
      </c>
      <c r="B25" s="129" t="n">
        <v>0.6611</v>
      </c>
      <c r="C25" s="80" t="n">
        <f aca="false">Assumptions!$K$41</f>
        <v>0.93</v>
      </c>
      <c r="D25" s="129" t="n">
        <f aca="false">B25*C25</f>
        <v>0.614823</v>
      </c>
    </row>
    <row r="26" customFormat="false" ht="15" hidden="false" customHeight="true" outlineLevel="0" collapsed="false">
      <c r="A26" s="11" t="s">
        <v>137</v>
      </c>
      <c r="B26" s="129" t="n">
        <v>1.8147</v>
      </c>
      <c r="C26" s="80" t="n">
        <f aca="false">Assumptions!$K$42</f>
        <v>0.85</v>
      </c>
      <c r="D26" s="129" t="n">
        <f aca="false">B26*C26</f>
        <v>1.542495</v>
      </c>
    </row>
    <row r="27" customFormat="false" ht="15" hidden="false" customHeight="true" outlineLevel="0" collapsed="false">
      <c r="A27" s="11" t="s">
        <v>139</v>
      </c>
      <c r="B27" s="129" t="n">
        <v>0.5673</v>
      </c>
      <c r="C27" s="80" t="n">
        <f aca="false">Assumptions!$K$43</f>
        <v>0.82</v>
      </c>
      <c r="D27" s="129" t="n">
        <f aca="false">B27*C27</f>
        <v>0.465186</v>
      </c>
    </row>
    <row r="28" customFormat="false" ht="15" hidden="false" customHeight="true" outlineLevel="0" collapsed="false">
      <c r="A28" s="11" t="s">
        <v>141</v>
      </c>
      <c r="B28" s="129" t="n">
        <v>1.4176</v>
      </c>
      <c r="C28" s="80" t="n">
        <f aca="false">Assumptions!$K$44</f>
        <v>0.7</v>
      </c>
      <c r="D28" s="129" t="n">
        <f aca="false">B28*C28</f>
        <v>0.99232</v>
      </c>
    </row>
    <row r="29" customFormat="false" ht="15" hidden="false" customHeight="true" outlineLevel="0" collapsed="false">
      <c r="A29" s="11" t="s">
        <v>143</v>
      </c>
      <c r="B29" s="129" t="n">
        <v>0.6522</v>
      </c>
      <c r="C29" s="80" t="n">
        <f aca="false">Assumptions!$K$45</f>
        <v>0.55</v>
      </c>
      <c r="D29" s="129" t="n">
        <f aca="false">B29*C29</f>
        <v>0.35871</v>
      </c>
    </row>
    <row r="30" customFormat="false" ht="15" hidden="false" customHeight="true" outlineLevel="0" collapsed="false">
      <c r="A30" s="11" t="s">
        <v>145</v>
      </c>
      <c r="B30" s="129" t="n">
        <v>0.7969</v>
      </c>
      <c r="C30" s="80" t="n">
        <f aca="false">Assumptions!$K$46</f>
        <v>0.3</v>
      </c>
      <c r="D30" s="129" t="n">
        <f aca="false">B30*C30</f>
        <v>0.23907</v>
      </c>
    </row>
    <row r="31" customFormat="false" ht="15" hidden="false" customHeight="true" outlineLevel="0" collapsed="false">
      <c r="A31" s="11" t="s">
        <v>147</v>
      </c>
      <c r="B31" s="129" t="n">
        <v>1.1754</v>
      </c>
      <c r="C31" s="80" t="n">
        <f aca="false">Assumptions!$K$47</f>
        <v>0.32</v>
      </c>
      <c r="D31" s="129" t="n">
        <f aca="false">B31*C31</f>
        <v>0.376128</v>
      </c>
    </row>
    <row r="32" customFormat="false" ht="15" hidden="false" customHeight="true" outlineLevel="0" collapsed="false">
      <c r="A32" s="11" t="s">
        <v>375</v>
      </c>
      <c r="B32" s="129" t="n">
        <v>4.6853</v>
      </c>
      <c r="C32" s="80" t="n">
        <f aca="false">Assumptions!$B$56</f>
        <v>0.97</v>
      </c>
      <c r="D32" s="129" t="n">
        <f aca="false">B32*C32</f>
        <v>4.544741</v>
      </c>
    </row>
    <row r="33" customFormat="false" ht="15" hidden="false" customHeight="true" outlineLevel="0" collapsed="false">
      <c r="A33" s="11" t="s">
        <v>376</v>
      </c>
      <c r="B33" s="129" t="n">
        <v>0.3954</v>
      </c>
      <c r="C33" s="80" t="n">
        <f aca="false">Assumptions!$B$37</f>
        <v>0.6</v>
      </c>
      <c r="D33" s="129" t="n">
        <f aca="false">B33*C33</f>
        <v>0.23724</v>
      </c>
    </row>
    <row r="34" customFormat="false" ht="15" hidden="false" customHeight="true" outlineLevel="0" collapsed="false">
      <c r="A34" s="11"/>
      <c r="B34" s="130"/>
      <c r="C34" s="84"/>
      <c r="D34" s="131"/>
    </row>
    <row r="35" customFormat="false" ht="15" hidden="false" customHeight="true" outlineLevel="0" collapsed="false">
      <c r="A35" s="11"/>
      <c r="B35" s="130"/>
      <c r="C35" s="84"/>
      <c r="D35" s="131"/>
    </row>
    <row r="36" customFormat="false" ht="15" hidden="false" customHeight="true" outlineLevel="0" collapsed="false">
      <c r="A36" s="11"/>
      <c r="B36" s="130"/>
      <c r="C36" s="84"/>
      <c r="D36" s="131"/>
    </row>
    <row r="37" customFormat="false" ht="15" hidden="false" customHeight="true" outlineLevel="0" collapsed="false">
      <c r="A37" s="11"/>
      <c r="B37" s="130"/>
      <c r="C37" s="84"/>
      <c r="D37" s="131"/>
    </row>
    <row r="38" customFormat="false" ht="15" hidden="false" customHeight="true" outlineLevel="0" collapsed="false">
      <c r="A38" s="11" t="s">
        <v>377</v>
      </c>
      <c r="B38" s="129" t="n">
        <f aca="false">Assumptions!$B$31*Assumptions!$B$32/Assumptions!$B$4</f>
        <v>2.2673031026253</v>
      </c>
      <c r="C38" s="80" t="n">
        <f aca="false">Assumptions!$B$33</f>
        <v>0.8</v>
      </c>
      <c r="D38" s="129" t="n">
        <f aca="false">B38*C38</f>
        <v>1.81384248210024</v>
      </c>
    </row>
    <row r="39" customFormat="false" ht="15" hidden="false" customHeight="true" outlineLevel="0" collapsed="false">
      <c r="A39" s="11" t="s">
        <v>378</v>
      </c>
      <c r="B39" s="129" t="n">
        <f aca="false">Assumptions!$B$34*Assumptions!$B$35/Assumptions!$B$4</f>
        <v>1.30805948228383</v>
      </c>
      <c r="C39" s="80" t="n">
        <f aca="false">Assumptions!$B$36</f>
        <v>0.85</v>
      </c>
      <c r="D39" s="129" t="n">
        <f aca="false">B39*C39</f>
        <v>1.11185055994125</v>
      </c>
    </row>
    <row r="40" customFormat="false" ht="15" hidden="false" customHeight="true" outlineLevel="0" collapsed="false">
      <c r="A40" s="77" t="s">
        <v>379</v>
      </c>
      <c r="B40" s="132" t="n">
        <f aca="false">SUM(B24:B39)</f>
        <v>17.1847625849091</v>
      </c>
      <c r="D40" s="132" t="n">
        <f aca="false">SUM(D24:D39)</f>
        <v>13.5955560420415</v>
      </c>
    </row>
    <row r="41" customFormat="false" ht="15" hidden="false" customHeight="true" outlineLevel="0" collapsed="false">
      <c r="A41" s="11" t="s">
        <v>380</v>
      </c>
      <c r="B41" s="129" t="n">
        <v>0</v>
      </c>
      <c r="D41" s="129" t="n">
        <v>0</v>
      </c>
    </row>
    <row r="42" customFormat="false" ht="15" hidden="false" customHeight="true" outlineLevel="0" collapsed="false">
      <c r="A42" s="11" t="s">
        <v>381</v>
      </c>
      <c r="B42" s="129" t="n">
        <f aca="false">Assumptions!B5*Assumptions!B29/Assumptions!B4</f>
        <v>6.24306957958509</v>
      </c>
      <c r="D42" s="129" t="n">
        <f aca="false">Assumptions!B5*Assumptions!B29/Assumptions!B4</f>
        <v>6.24306957958509</v>
      </c>
    </row>
    <row r="43" customFormat="false" ht="15" hidden="false" customHeight="true" outlineLevel="0" collapsed="false">
      <c r="A43" s="125" t="s">
        <v>382</v>
      </c>
      <c r="B43" s="133" t="n">
        <f aca="false">B40+B41+B42</f>
        <v>23.4278321644942</v>
      </c>
      <c r="C43" s="11" t="s">
        <v>383</v>
      </c>
      <c r="D43" s="133" t="n">
        <f aca="false">D40+D41+D42</f>
        <v>19.8386256216266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13"/>
    <col collapsed="false" customWidth="true" hidden="false" outlineLevel="0" max="6" min="3" style="1" width="12"/>
    <col collapsed="false" customWidth="true" hidden="false" outlineLevel="0" max="7" min="7" style="1" width="11"/>
    <col collapsed="false" customWidth="true" hidden="false" outlineLevel="0" max="8" min="8" style="1" width="40"/>
  </cols>
  <sheetData>
    <row r="1" customFormat="false" ht="15.75" hidden="false" customHeight="true" outlineLevel="0" collapsed="false">
      <c r="A1" s="7" t="s">
        <v>384</v>
      </c>
    </row>
    <row r="2" customFormat="false" ht="25.5" hidden="false" customHeight="true" outlineLevel="0" collapsed="false">
      <c r="A2" s="134" t="s">
        <v>385</v>
      </c>
    </row>
    <row r="4" customFormat="false" ht="15" hidden="false" customHeight="true" outlineLevel="0" collapsed="false">
      <c r="A4" s="110" t="s">
        <v>386</v>
      </c>
    </row>
    <row r="5" customFormat="false" ht="15" hidden="false" customHeight="true" outlineLevel="0" collapsed="false">
      <c r="A5" s="48" t="s">
        <v>387</v>
      </c>
      <c r="B5" s="135" t="n">
        <v>12.44</v>
      </c>
    </row>
    <row r="6" customFormat="false" ht="15" hidden="false" customHeight="true" outlineLevel="0" collapsed="false">
      <c r="A6" s="48" t="s">
        <v>388</v>
      </c>
      <c r="B6" s="136" t="n">
        <v>20</v>
      </c>
    </row>
    <row r="7" customFormat="false" ht="15" hidden="false" customHeight="true" outlineLevel="0" collapsed="false">
      <c r="A7" s="48" t="s">
        <v>389</v>
      </c>
      <c r="B7" s="136" t="n">
        <v>60</v>
      </c>
    </row>
    <row r="8" customFormat="false" ht="15" hidden="false" customHeight="true" outlineLevel="0" collapsed="false">
      <c r="A8" s="48" t="s">
        <v>390</v>
      </c>
      <c r="B8" s="45" t="n">
        <v>0.136</v>
      </c>
    </row>
    <row r="9" customFormat="false" ht="15" hidden="false" customHeight="true" outlineLevel="0" collapsed="false">
      <c r="A9" s="11" t="s">
        <v>391</v>
      </c>
      <c r="B9" s="135" t="n">
        <v>11.4</v>
      </c>
    </row>
    <row r="10" customFormat="false" ht="15" hidden="false" customHeight="true" outlineLevel="0" collapsed="false">
      <c r="A10" s="11" t="s">
        <v>392</v>
      </c>
      <c r="B10" s="135" t="n">
        <v>13</v>
      </c>
    </row>
    <row r="11" customFormat="false" ht="15" hidden="false" customHeight="true" outlineLevel="0" collapsed="false">
      <c r="A11" s="11" t="s">
        <v>393</v>
      </c>
      <c r="B11" s="135" t="n">
        <v>15</v>
      </c>
    </row>
    <row r="12" customFormat="false" ht="15" hidden="false" customHeight="true" outlineLevel="0" collapsed="false">
      <c r="A12" s="11" t="s">
        <v>394</v>
      </c>
      <c r="B12" s="135" t="n">
        <v>10.6</v>
      </c>
    </row>
    <row r="13" customFormat="false" ht="15" hidden="false" customHeight="true" outlineLevel="0" collapsed="false">
      <c r="A13" s="11" t="s">
        <v>395</v>
      </c>
      <c r="B13" s="135" t="n">
        <v>9.8</v>
      </c>
    </row>
    <row r="15" customFormat="false" ht="15" hidden="false" customHeight="true" outlineLevel="0" collapsed="false">
      <c r="A15" s="110" t="s">
        <v>396</v>
      </c>
    </row>
    <row r="16" customFormat="false" ht="15" hidden="false" customHeight="true" outlineLevel="0" collapsed="false">
      <c r="A16" s="95" t="s">
        <v>397</v>
      </c>
      <c r="B16" s="96" t="s">
        <v>398</v>
      </c>
      <c r="C16" s="96" t="s">
        <v>399</v>
      </c>
      <c r="D16" s="96" t="s">
        <v>400</v>
      </c>
      <c r="E16" s="96" t="s">
        <v>401</v>
      </c>
      <c r="F16" s="96" t="s">
        <v>402</v>
      </c>
      <c r="G16" s="96" t="s">
        <v>403</v>
      </c>
      <c r="H16" s="96" t="s">
        <v>404</v>
      </c>
    </row>
    <row r="17" customFormat="false" ht="23.25" hidden="false" customHeight="true" outlineLevel="0" collapsed="false">
      <c r="A17" s="137" t="s">
        <v>405</v>
      </c>
      <c r="B17" s="138" t="s">
        <v>406</v>
      </c>
      <c r="C17" s="100" t="n">
        <v>0.02</v>
      </c>
      <c r="D17" s="100" t="n">
        <v>0.04</v>
      </c>
      <c r="E17" s="138" t="s">
        <v>407</v>
      </c>
      <c r="F17" s="138" t="s">
        <v>407</v>
      </c>
      <c r="G17" s="138" t="s">
        <v>407</v>
      </c>
      <c r="H17" s="112" t="s">
        <v>408</v>
      </c>
    </row>
    <row r="18" customFormat="false" ht="15" hidden="false" customHeight="true" outlineLevel="0" collapsed="false">
      <c r="A18" s="137" t="s">
        <v>409</v>
      </c>
      <c r="B18" s="138" t="s">
        <v>406</v>
      </c>
      <c r="C18" s="100" t="n">
        <v>-0.015</v>
      </c>
      <c r="D18" s="100" t="n">
        <v>0.06</v>
      </c>
      <c r="E18" s="138" t="s">
        <v>407</v>
      </c>
      <c r="F18" s="138" t="s">
        <v>407</v>
      </c>
      <c r="G18" s="138" t="s">
        <v>407</v>
      </c>
      <c r="H18" s="112" t="s">
        <v>410</v>
      </c>
    </row>
    <row r="19" customFormat="false" ht="15" hidden="false" customHeight="true" outlineLevel="0" collapsed="false">
      <c r="A19" s="137" t="s">
        <v>411</v>
      </c>
      <c r="B19" s="138" t="s">
        <v>406</v>
      </c>
      <c r="C19" s="100" t="n">
        <v>0.015</v>
      </c>
      <c r="D19" s="100" t="n">
        <v>0.04</v>
      </c>
      <c r="E19" s="138" t="s">
        <v>407</v>
      </c>
      <c r="F19" s="138" t="s">
        <v>407</v>
      </c>
      <c r="G19" s="138" t="s">
        <v>407</v>
      </c>
      <c r="H19" s="112" t="s">
        <v>412</v>
      </c>
    </row>
    <row r="20" customFormat="false" ht="15" hidden="false" customHeight="true" outlineLevel="0" collapsed="false">
      <c r="A20" s="137" t="s">
        <v>413</v>
      </c>
      <c r="B20" s="138" t="s">
        <v>406</v>
      </c>
      <c r="C20" s="100" t="n">
        <v>0.015</v>
      </c>
      <c r="D20" s="100" t="n">
        <v>0.07</v>
      </c>
      <c r="E20" s="138" t="s">
        <v>407</v>
      </c>
      <c r="F20" s="138" t="s">
        <v>407</v>
      </c>
      <c r="G20" s="138" t="s">
        <v>407</v>
      </c>
      <c r="H20" s="112" t="s">
        <v>414</v>
      </c>
    </row>
    <row r="21" customFormat="false" ht="23.25" hidden="false" customHeight="true" outlineLevel="0" collapsed="false">
      <c r="A21" s="137" t="s">
        <v>415</v>
      </c>
      <c r="B21" s="138" t="s">
        <v>406</v>
      </c>
      <c r="C21" s="100" t="n">
        <v>0.005</v>
      </c>
      <c r="D21" s="100" t="n">
        <v>0.05</v>
      </c>
      <c r="E21" s="138" t="s">
        <v>407</v>
      </c>
      <c r="F21" s="138" t="s">
        <v>407</v>
      </c>
      <c r="G21" s="138" t="s">
        <v>407</v>
      </c>
      <c r="H21" s="112" t="s">
        <v>416</v>
      </c>
    </row>
    <row r="22" customFormat="false" ht="15" hidden="false" customHeight="true" outlineLevel="0" collapsed="false">
      <c r="A22" s="137" t="s">
        <v>417</v>
      </c>
      <c r="B22" s="138" t="s">
        <v>418</v>
      </c>
      <c r="C22" s="138" t="s">
        <v>407</v>
      </c>
      <c r="D22" s="138" t="s">
        <v>407</v>
      </c>
      <c r="E22" s="105" t="n">
        <v>0.3</v>
      </c>
      <c r="F22" s="105" t="n">
        <v>-0.1</v>
      </c>
      <c r="G22" s="105" t="n">
        <v>0.05</v>
      </c>
      <c r="H22" s="112" t="s">
        <v>419</v>
      </c>
    </row>
    <row r="23" customFormat="false" ht="15" hidden="false" customHeight="true" outlineLevel="0" collapsed="false">
      <c r="A23" s="137" t="s">
        <v>420</v>
      </c>
      <c r="B23" s="138" t="s">
        <v>418</v>
      </c>
      <c r="C23" s="138" t="s">
        <v>407</v>
      </c>
      <c r="D23" s="138" t="s">
        <v>407</v>
      </c>
      <c r="E23" s="105" t="n">
        <v>0.3</v>
      </c>
      <c r="F23" s="105" t="n">
        <v>0.05</v>
      </c>
      <c r="G23" s="105" t="n">
        <v>0.04</v>
      </c>
      <c r="H23" s="112" t="s">
        <v>421</v>
      </c>
    </row>
    <row r="24" customFormat="false" ht="15" hidden="false" customHeight="true" outlineLevel="0" collapsed="false">
      <c r="A24" s="137" t="s">
        <v>422</v>
      </c>
      <c r="B24" s="138" t="s">
        <v>418</v>
      </c>
      <c r="C24" s="138" t="s">
        <v>407</v>
      </c>
      <c r="D24" s="138" t="s">
        <v>407</v>
      </c>
      <c r="E24" s="105" t="n">
        <v>0.55</v>
      </c>
      <c r="F24" s="105" t="n">
        <v>0.07</v>
      </c>
      <c r="G24" s="105" t="n">
        <v>0.04</v>
      </c>
      <c r="H24" s="112" t="s">
        <v>423</v>
      </c>
    </row>
    <row r="25" customFormat="false" ht="15" hidden="false" customHeight="true" outlineLevel="0" collapsed="false">
      <c r="A25" s="137" t="s">
        <v>424</v>
      </c>
      <c r="B25" s="138" t="s">
        <v>418</v>
      </c>
      <c r="C25" s="138" t="s">
        <v>407</v>
      </c>
      <c r="D25" s="138" t="s">
        <v>407</v>
      </c>
      <c r="E25" s="105" t="n">
        <v>0.45</v>
      </c>
      <c r="F25" s="105" t="n">
        <v>0.05</v>
      </c>
      <c r="G25" s="105" t="n">
        <v>0.05</v>
      </c>
      <c r="H25" s="112" t="s">
        <v>425</v>
      </c>
    </row>
    <row r="26" customFormat="false" ht="15" hidden="false" customHeight="true" outlineLevel="0" collapsed="false">
      <c r="A26" s="137" t="s">
        <v>426</v>
      </c>
      <c r="B26" s="138" t="s">
        <v>418</v>
      </c>
      <c r="C26" s="138" t="s">
        <v>407</v>
      </c>
      <c r="D26" s="138" t="s">
        <v>407</v>
      </c>
      <c r="E26" s="105" t="n">
        <v>0.35</v>
      </c>
      <c r="F26" s="105" t="n">
        <v>0.02</v>
      </c>
      <c r="G26" s="105" t="n">
        <v>0.05</v>
      </c>
      <c r="H26" s="112" t="s">
        <v>427</v>
      </c>
    </row>
    <row r="28" customFormat="false" ht="15" hidden="false" customHeight="true" outlineLevel="0" collapsed="false">
      <c r="A28" s="110" t="s">
        <v>428</v>
      </c>
    </row>
    <row r="29" customFormat="false" ht="15" hidden="false" customHeight="true" outlineLevel="0" collapsed="false">
      <c r="A29" s="48" t="s">
        <v>429</v>
      </c>
      <c r="B29" s="139" t="n">
        <f aca="false">SUM(C17:C21)+SUMPRODUCT(E22:E26,F22:F26)</f>
        <v>0.093</v>
      </c>
    </row>
    <row r="30" customFormat="false" ht="15" hidden="false" customHeight="true" outlineLevel="0" collapsed="false">
      <c r="A30" s="48" t="s">
        <v>430</v>
      </c>
      <c r="B30" s="139" t="n">
        <f aca="false">SUMSQ(D17:D21)+B8^2+SUMPRODUCT(E22:E26,G22:G26^2)+SUMPRODUCT(E22:E26,(1-E22:E26),F22:F26^2)</f>
        <v>0.0413535</v>
      </c>
    </row>
    <row r="31" customFormat="false" ht="15" hidden="false" customHeight="true" outlineLevel="0" collapsed="false">
      <c r="A31" s="48" t="s">
        <v>431</v>
      </c>
      <c r="B31" s="139" t="n">
        <f aca="false">SQRT(B30)</f>
        <v>0.203355599873719</v>
      </c>
    </row>
    <row r="32" customFormat="false" ht="15" hidden="false" customHeight="true" outlineLevel="0" collapsed="false">
      <c r="A32" s="48" t="s">
        <v>432</v>
      </c>
      <c r="B32" s="140" t="n">
        <f aca="false">B31*2</f>
        <v>0.406711199747438</v>
      </c>
      <c r="C32" s="11" t="s">
        <v>433</v>
      </c>
    </row>
    <row r="34" customFormat="false" ht="15" hidden="false" customHeight="true" outlineLevel="0" collapsed="false">
      <c r="A34" s="110" t="s">
        <v>434</v>
      </c>
    </row>
    <row r="35" customFormat="false" ht="15" hidden="false" customHeight="true" outlineLevel="0" collapsed="false">
      <c r="A35" s="95" t="s">
        <v>435</v>
      </c>
      <c r="B35" s="96" t="s">
        <v>436</v>
      </c>
      <c r="C35" s="96" t="s">
        <v>437</v>
      </c>
      <c r="D35" s="96" t="s">
        <v>438</v>
      </c>
      <c r="E35" s="96" t="s">
        <v>439</v>
      </c>
      <c r="F35" s="96" t="s">
        <v>440</v>
      </c>
      <c r="H35" s="95" t="s">
        <v>441</v>
      </c>
    </row>
    <row r="36" customFormat="false" ht="15" hidden="false" customHeight="true" outlineLevel="0" collapsed="false">
      <c r="A36" s="97" t="s">
        <v>442</v>
      </c>
      <c r="B36" s="102" t="n">
        <f aca="false">B5*EXP(B29*20/60+-1.6449*B31*SQRT(20/60))</f>
        <v>10.5781826351704</v>
      </c>
      <c r="C36" s="102" t="n">
        <f aca="false">B5*EXP(B29*20/60+-0.6745*B31*SQRT(20/60))</f>
        <v>11.8547163076397</v>
      </c>
      <c r="D36" s="102" t="n">
        <f aca="false">B5*EXP(B29*20/60+0*B31*SQRT(20/60))</f>
        <v>12.8316796683483</v>
      </c>
      <c r="E36" s="102" t="n">
        <f aca="false">B5*EXP(B29*20/60+0.6745*B31*SQRT(20/60))</f>
        <v>13.8891559138362</v>
      </c>
      <c r="F36" s="102" t="n">
        <f aca="false">B5*EXP(B29*20/60+1.6449*B31*SQRT(20/60))</f>
        <v>15.5652448808804</v>
      </c>
    </row>
    <row r="37" customFormat="false" ht="15" hidden="false" customHeight="true" outlineLevel="0" collapsed="false">
      <c r="A37" s="107" t="s">
        <v>443</v>
      </c>
      <c r="B37" s="141" t="n">
        <v>10.5</v>
      </c>
      <c r="C37" s="141" t="n">
        <v>11.8</v>
      </c>
      <c r="D37" s="141" t="n">
        <v>12.75</v>
      </c>
      <c r="E37" s="141" t="n">
        <v>13.78</v>
      </c>
      <c r="F37" s="141" t="n">
        <v>15.46</v>
      </c>
      <c r="H37" s="142" t="s">
        <v>444</v>
      </c>
    </row>
    <row r="38" customFormat="false" ht="15" hidden="false" customHeight="true" outlineLevel="0" collapsed="false">
      <c r="A38" s="97" t="s">
        <v>445</v>
      </c>
      <c r="B38" s="102" t="n">
        <f aca="false">B5*EXP(B29*1+-1.6449*B31*SQRT(1))</f>
        <v>9.77098677121374</v>
      </c>
      <c r="C38" s="102" t="n">
        <f aca="false">B5*EXP(B29*1+-0.6745*B31*SQRT(1))</f>
        <v>11.9025627633534</v>
      </c>
      <c r="D38" s="102" t="n">
        <f aca="false">B5*EXP(B29*1+0*B31*SQRT(1))</f>
        <v>13.6524239867349</v>
      </c>
      <c r="E38" s="102" t="n">
        <f aca="false">B5*EXP(B29*1+0.6745*B31*SQRT(1))</f>
        <v>15.6595419338972</v>
      </c>
      <c r="F38" s="102" t="n">
        <f aca="false">B5*EXP(B29*1+1.6449*B31*SQRT(1))</f>
        <v>19.0757274651824</v>
      </c>
    </row>
    <row r="39" customFormat="false" ht="15" hidden="false" customHeight="true" outlineLevel="0" collapsed="false">
      <c r="A39" s="107" t="s">
        <v>446</v>
      </c>
      <c r="B39" s="141" t="n">
        <v>9.64</v>
      </c>
      <c r="C39" s="141" t="n">
        <v>11.71</v>
      </c>
      <c r="D39" s="141" t="n">
        <v>13.39</v>
      </c>
      <c r="E39" s="141" t="n">
        <v>15.29</v>
      </c>
      <c r="F39" s="141" t="n">
        <v>18.47</v>
      </c>
      <c r="H39" s="142" t="s">
        <v>444</v>
      </c>
    </row>
    <row r="40" customFormat="false" ht="15" hidden="false" customHeight="true" outlineLevel="0" collapsed="false">
      <c r="A40" s="48" t="s">
        <v>447</v>
      </c>
      <c r="B40" s="143" t="n">
        <f aca="false">D38-D39</f>
        <v>0.262423986734939</v>
      </c>
    </row>
    <row r="42" customFormat="false" ht="15" hidden="false" customHeight="true" outlineLevel="0" collapsed="false">
      <c r="A42" s="110" t="s">
        <v>448</v>
      </c>
    </row>
    <row r="43" customFormat="false" ht="15" hidden="false" customHeight="true" outlineLevel="0" collapsed="false">
      <c r="B43" s="96" t="s">
        <v>449</v>
      </c>
      <c r="C43" s="96" t="s">
        <v>450</v>
      </c>
    </row>
    <row r="44" customFormat="false" ht="15" hidden="false" customHeight="true" outlineLevel="0" collapsed="false">
      <c r="A44" s="11" t="s">
        <v>451</v>
      </c>
      <c r="B44" s="144" t="n">
        <f aca="false">NORMSDIST((LN(B9/B5)-B29)/B31)</f>
        <v>0.18763568321473</v>
      </c>
      <c r="C44" s="145" t="n">
        <v>0.21</v>
      </c>
    </row>
    <row r="45" customFormat="false" ht="15" hidden="false" customHeight="true" outlineLevel="0" collapsed="false">
      <c r="A45" s="11" t="s">
        <v>452</v>
      </c>
      <c r="B45" s="144" t="n">
        <f aca="false">NORMSDIST((LN(B10/B5)-B29)/B31)-NORMSDIST((LN(B9/B5)-B29)/B31)</f>
        <v>0.217219950648531</v>
      </c>
      <c r="C45" s="145" t="n">
        <v>0.23</v>
      </c>
    </row>
    <row r="46" customFormat="false" ht="15" hidden="false" customHeight="true" outlineLevel="0" collapsed="false">
      <c r="A46" s="11" t="s">
        <v>453</v>
      </c>
      <c r="B46" s="144" t="n">
        <f aca="false">NORMSDIST((LN(B11/B5)-B29)/B31)-NORMSDIST((LN(B10/B5)-B29)/B31)</f>
        <v>0.273426001533228</v>
      </c>
      <c r="C46" s="145" t="n">
        <v>0.28</v>
      </c>
    </row>
    <row r="47" customFormat="false" ht="15" hidden="false" customHeight="true" outlineLevel="0" collapsed="false">
      <c r="A47" s="11" t="s">
        <v>454</v>
      </c>
      <c r="B47" s="144" t="n">
        <f aca="false">1-NORMSDIST((LN(B11/B5)-B29)/B31)</f>
        <v>0.321718364603512</v>
      </c>
      <c r="C47" s="145" t="n">
        <v>0.28</v>
      </c>
    </row>
    <row r="49" customFormat="false" ht="15" hidden="false" customHeight="true" outlineLevel="0" collapsed="false">
      <c r="A49" s="110" t="s">
        <v>455</v>
      </c>
    </row>
    <row r="50" customFormat="false" ht="15" hidden="false" customHeight="true" outlineLevel="0" collapsed="false">
      <c r="A50" s="95" t="s">
        <v>456</v>
      </c>
      <c r="B50" s="96" t="s">
        <v>457</v>
      </c>
      <c r="C50" s="96" t="s">
        <v>458</v>
      </c>
    </row>
    <row r="51" customFormat="false" ht="15" hidden="false" customHeight="true" outlineLevel="0" collapsed="false">
      <c r="A51" s="146" t="n">
        <v>13</v>
      </c>
      <c r="B51" s="147" t="n">
        <v>0.67</v>
      </c>
      <c r="C51" s="147" t="n">
        <v>0.84</v>
      </c>
    </row>
    <row r="52" customFormat="false" ht="15" hidden="false" customHeight="true" outlineLevel="0" collapsed="false">
      <c r="A52" s="146" t="n">
        <v>14</v>
      </c>
      <c r="B52" s="147" t="n">
        <v>0.31</v>
      </c>
      <c r="C52" s="147" t="n">
        <v>0.63</v>
      </c>
    </row>
    <row r="53" customFormat="false" ht="15" hidden="false" customHeight="true" outlineLevel="0" collapsed="false">
      <c r="A53" s="146" t="n">
        <v>15</v>
      </c>
      <c r="B53" s="147" t="n">
        <v>0.12</v>
      </c>
      <c r="C53" s="147" t="n">
        <v>0.44</v>
      </c>
    </row>
    <row r="54" customFormat="false" ht="15" hidden="false" customHeight="true" outlineLevel="0" collapsed="false">
      <c r="A54" s="146" t="n">
        <v>16</v>
      </c>
      <c r="B54" s="147" t="n">
        <v>0.04</v>
      </c>
      <c r="C54" s="147" t="n">
        <v>0.28</v>
      </c>
    </row>
    <row r="55" customFormat="false" ht="15" hidden="false" customHeight="true" outlineLevel="0" collapsed="false">
      <c r="A55" s="146" t="n">
        <v>17</v>
      </c>
      <c r="B55" s="147" t="n">
        <v>0.01</v>
      </c>
      <c r="C55" s="147" t="n">
        <v>0.18</v>
      </c>
    </row>
    <row r="56" customFormat="false" ht="15" hidden="false" customHeight="true" outlineLevel="0" collapsed="false">
      <c r="A56" s="137" t="s">
        <v>459</v>
      </c>
      <c r="B56" s="147" t="n">
        <v>0.1</v>
      </c>
      <c r="C56" s="147" t="n">
        <v>0.27</v>
      </c>
    </row>
    <row r="57" customFormat="false" ht="15" hidden="false" customHeight="true" outlineLevel="0" collapsed="false">
      <c r="A57" s="137" t="s">
        <v>460</v>
      </c>
      <c r="B57" s="147" t="n">
        <v>0.02</v>
      </c>
      <c r="C57" s="147" t="n">
        <v>0.13</v>
      </c>
    </row>
    <row r="58" customFormat="false" ht="25.5" hidden="false" customHeight="true" outlineLevel="0" collapsed="false">
      <c r="A58" s="94" t="s">
        <v>461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4"/>
    <col collapsed="false" customWidth="true" hidden="false" outlineLevel="0" max="6" min="2" style="1" width="12"/>
  </cols>
  <sheetData>
    <row r="1" customFormat="false" ht="15.75" hidden="false" customHeight="true" outlineLevel="0" collapsed="false">
      <c r="A1" s="7" t="s">
        <v>462</v>
      </c>
      <c r="B1" s="8"/>
      <c r="C1" s="8"/>
      <c r="D1" s="8"/>
      <c r="E1" s="8"/>
      <c r="F1" s="8"/>
      <c r="G1" s="8"/>
      <c r="H1" s="8"/>
    </row>
    <row r="2" customFormat="false" ht="15" hidden="false" customHeight="true" outlineLevel="0" collapsed="false">
      <c r="A2" s="148" t="s">
        <v>463</v>
      </c>
      <c r="B2" s="8"/>
      <c r="C2" s="8"/>
      <c r="D2" s="8"/>
      <c r="E2" s="8"/>
      <c r="F2" s="8"/>
      <c r="G2" s="8"/>
      <c r="H2" s="8"/>
    </row>
    <row r="3" customFormat="false" ht="15" hidden="false" customHeight="true" outlineLevel="0" collapsed="false">
      <c r="A3" s="77" t="s">
        <v>464</v>
      </c>
    </row>
    <row r="4" customFormat="false" ht="15" hidden="false" customHeight="true" outlineLevel="0" collapsed="false">
      <c r="B4" s="11" t="s">
        <v>465</v>
      </c>
    </row>
    <row r="5" customFormat="false" ht="15" hidden="false" customHeight="true" outlineLevel="0" collapsed="false">
      <c r="A5" s="51" t="s">
        <v>466</v>
      </c>
      <c r="B5" s="54" t="n">
        <v>0.05</v>
      </c>
      <c r="C5" s="54" t="n">
        <v>0.1</v>
      </c>
      <c r="D5" s="54" t="n">
        <v>0.15</v>
      </c>
      <c r="E5" s="54" t="n">
        <v>0.2</v>
      </c>
      <c r="F5" s="54" t="n">
        <v>0.25</v>
      </c>
    </row>
    <row r="6" customFormat="false" ht="15" hidden="false" customHeight="true" outlineLevel="0" collapsed="false">
      <c r="A6" s="54" t="n">
        <v>0.16</v>
      </c>
      <c r="B6" s="149" t="n">
        <v>23.06</v>
      </c>
      <c r="C6" s="149" t="n">
        <v>23.77</v>
      </c>
      <c r="D6" s="149" t="n">
        <v>24.47</v>
      </c>
      <c r="E6" s="149" t="n">
        <v>25.17</v>
      </c>
      <c r="F6" s="149" t="n">
        <v>25.87</v>
      </c>
    </row>
    <row r="7" customFormat="false" ht="15" hidden="false" customHeight="true" outlineLevel="0" collapsed="false">
      <c r="A7" s="54" t="n">
        <v>0.18</v>
      </c>
      <c r="B7" s="149" t="n">
        <v>21.28</v>
      </c>
      <c r="C7" s="150" t="n">
        <v>21.98</v>
      </c>
      <c r="D7" s="149" t="n">
        <v>22.68</v>
      </c>
      <c r="E7" s="149" t="n">
        <v>23.38</v>
      </c>
      <c r="F7" s="149" t="n">
        <v>24.08</v>
      </c>
    </row>
    <row r="8" customFormat="false" ht="15" hidden="false" customHeight="true" outlineLevel="0" collapsed="false">
      <c r="A8" s="54" t="n">
        <v>0.2</v>
      </c>
      <c r="B8" s="149" t="n">
        <v>19.87</v>
      </c>
      <c r="C8" s="149" t="n">
        <v>20.56</v>
      </c>
      <c r="D8" s="149" t="n">
        <v>21.25</v>
      </c>
      <c r="E8" s="149" t="n">
        <v>21.94</v>
      </c>
      <c r="F8" s="149" t="n">
        <v>22.63</v>
      </c>
    </row>
    <row r="9" customFormat="false" ht="15" hidden="false" customHeight="true" outlineLevel="0" collapsed="false">
      <c r="A9" s="54" t="n">
        <v>0.22</v>
      </c>
      <c r="B9" s="149" t="n">
        <v>18.72</v>
      </c>
      <c r="C9" s="149" t="n">
        <v>19.4</v>
      </c>
      <c r="D9" s="149" t="n">
        <v>20.08</v>
      </c>
      <c r="E9" s="149" t="n">
        <v>20.75</v>
      </c>
      <c r="F9" s="149" t="n">
        <v>21.43</v>
      </c>
    </row>
    <row r="10" customFormat="false" ht="15" hidden="false" customHeight="true" outlineLevel="0" collapsed="false">
      <c r="A10" s="54" t="n">
        <v>0.24</v>
      </c>
      <c r="B10" s="149" t="n">
        <v>17.77</v>
      </c>
      <c r="C10" s="149" t="n">
        <v>18.43</v>
      </c>
      <c r="D10" s="149" t="n">
        <v>19.09</v>
      </c>
      <c r="E10" s="149" t="n">
        <v>19.75</v>
      </c>
      <c r="F10" s="149" t="n">
        <v>20.41</v>
      </c>
    </row>
    <row r="13" customFormat="false" ht="15" hidden="false" customHeight="true" outlineLevel="0" collapsed="false">
      <c r="A13" s="77" t="s">
        <v>467</v>
      </c>
    </row>
    <row r="14" customFormat="false" ht="15" hidden="false" customHeight="true" outlineLevel="0" collapsed="false">
      <c r="B14" s="11" t="s">
        <v>468</v>
      </c>
    </row>
    <row r="15" customFormat="false" ht="15" hidden="false" customHeight="true" outlineLevel="0" collapsed="false">
      <c r="A15" s="151" t="s">
        <v>466</v>
      </c>
      <c r="B15" s="152" t="n">
        <v>0.85</v>
      </c>
      <c r="C15" s="152" t="n">
        <v>0.925</v>
      </c>
      <c r="D15" s="152" t="n">
        <v>1</v>
      </c>
      <c r="E15" s="152" t="n">
        <v>1.075</v>
      </c>
      <c r="F15" s="152" t="n">
        <v>1.15</v>
      </c>
    </row>
    <row r="16" customFormat="false" ht="15" hidden="false" customHeight="true" outlineLevel="0" collapsed="false">
      <c r="A16" s="54" t="n">
        <v>0.16</v>
      </c>
      <c r="B16" s="149" t="n">
        <v>22.1</v>
      </c>
      <c r="C16" s="149" t="n">
        <v>22.93</v>
      </c>
      <c r="D16" s="149" t="n">
        <v>23.77</v>
      </c>
      <c r="E16" s="149" t="n">
        <v>24.6</v>
      </c>
      <c r="F16" s="149" t="n">
        <v>25.43</v>
      </c>
    </row>
    <row r="17" customFormat="false" ht="15" hidden="false" customHeight="true" outlineLevel="0" collapsed="false">
      <c r="A17" s="54" t="n">
        <v>0.18</v>
      </c>
      <c r="B17" s="149" t="n">
        <v>20.54</v>
      </c>
      <c r="C17" s="149" t="n">
        <v>21.26</v>
      </c>
      <c r="D17" s="150" t="n">
        <v>21.98</v>
      </c>
      <c r="E17" s="149" t="n">
        <v>22.71</v>
      </c>
      <c r="F17" s="149" t="n">
        <v>23.43</v>
      </c>
    </row>
    <row r="18" customFormat="false" ht="15" hidden="false" customHeight="true" outlineLevel="0" collapsed="false">
      <c r="A18" s="54" t="n">
        <v>0.2</v>
      </c>
      <c r="B18" s="149" t="n">
        <v>19.3</v>
      </c>
      <c r="C18" s="149" t="n">
        <v>19.93</v>
      </c>
      <c r="D18" s="149" t="n">
        <v>20.56</v>
      </c>
      <c r="E18" s="149" t="n">
        <v>21.19</v>
      </c>
      <c r="F18" s="149" t="n">
        <v>21.82</v>
      </c>
    </row>
    <row r="19" customFormat="false" ht="15" hidden="false" customHeight="true" outlineLevel="0" collapsed="false">
      <c r="A19" s="54" t="n">
        <v>0.22</v>
      </c>
      <c r="B19" s="149" t="n">
        <v>18.29</v>
      </c>
      <c r="C19" s="149" t="n">
        <v>18.85</v>
      </c>
      <c r="D19" s="149" t="n">
        <v>19.4</v>
      </c>
      <c r="E19" s="149" t="n">
        <v>19.95</v>
      </c>
      <c r="F19" s="149" t="n">
        <v>20.51</v>
      </c>
    </row>
    <row r="20" customFormat="false" ht="15" hidden="false" customHeight="true" outlineLevel="0" collapsed="false">
      <c r="A20" s="153" t="n">
        <v>0.24</v>
      </c>
      <c r="B20" s="149" t="n">
        <v>17.45</v>
      </c>
      <c r="C20" s="149" t="n">
        <v>17.94</v>
      </c>
      <c r="D20" s="149" t="n">
        <v>18.43</v>
      </c>
      <c r="E20" s="149" t="n">
        <v>18.92</v>
      </c>
      <c r="F20" s="149" t="n">
        <v>19.41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20"/>
    <col collapsed="false" customWidth="true" hidden="false" outlineLevel="0" max="3" min="2" style="1" width="14"/>
  </cols>
  <sheetData>
    <row r="1" customFormat="false" ht="15.75" hidden="false" customHeight="true" outlineLevel="0" collapsed="false">
      <c r="A1" s="7" t="s">
        <v>17</v>
      </c>
      <c r="B1" s="8"/>
      <c r="C1" s="8"/>
      <c r="D1" s="8"/>
      <c r="E1" s="8"/>
      <c r="F1" s="8"/>
    </row>
    <row r="2" customFormat="false" ht="15" hidden="false" customHeight="true" outlineLevel="0" collapsed="false">
      <c r="A2" s="9" t="s">
        <v>18</v>
      </c>
      <c r="B2" s="8"/>
      <c r="C2" s="8"/>
      <c r="D2" s="8"/>
      <c r="E2" s="8"/>
      <c r="F2" s="8"/>
    </row>
    <row r="4" customFormat="false" ht="15" hidden="false" customHeight="true" outlineLevel="0" collapsed="false">
      <c r="A4" s="10" t="s">
        <v>19</v>
      </c>
    </row>
    <row r="5" customFormat="false" ht="15" hidden="false" customHeight="true" outlineLevel="0" collapsed="false">
      <c r="A5" s="11" t="s">
        <v>20</v>
      </c>
      <c r="B5" s="12" t="n">
        <f aca="false">Valuation!B43</f>
        <v>23.4278321644942</v>
      </c>
    </row>
    <row r="6" customFormat="false" ht="15" hidden="false" customHeight="true" outlineLevel="0" collapsed="false">
      <c r="A6" s="11" t="s">
        <v>21</v>
      </c>
      <c r="B6" s="13" t="n">
        <f aca="false">Valuation!D43</f>
        <v>19.8386256216266</v>
      </c>
    </row>
    <row r="7" customFormat="false" ht="15" hidden="false" customHeight="true" outlineLevel="0" collapsed="false">
      <c r="A7" s="11" t="s">
        <v>22</v>
      </c>
      <c r="B7" s="14" t="n">
        <v>12.44</v>
      </c>
    </row>
    <row r="8" customFormat="false" ht="15" hidden="false" customHeight="true" outlineLevel="0" collapsed="false">
      <c r="A8" s="11" t="s">
        <v>23</v>
      </c>
      <c r="B8" s="15" t="n">
        <f aca="false">B5/B7-1</f>
        <v>0.88326625116513</v>
      </c>
      <c r="C8" s="15" t="n">
        <f aca="false">B6/B7-1</f>
        <v>0.594744824889597</v>
      </c>
    </row>
    <row r="9" customFormat="false" ht="15" hidden="false" customHeight="false" outlineLevel="0" collapsed="false">
      <c r="A9" s="16" t="s">
        <v>24</v>
      </c>
      <c r="B9" s="17" t="n">
        <f aca="false">'Fundamental Valuation'!B10</f>
        <v>19.4557852964097</v>
      </c>
      <c r="C9" s="18" t="n">
        <f aca="false">'Fundamental Valuation'!B10/B7-1</f>
        <v>0.563969879132616</v>
      </c>
    </row>
    <row r="10" customFormat="false" ht="15" hidden="false" customHeight="true" outlineLevel="0" collapsed="false">
      <c r="A10" s="10" t="s">
        <v>25</v>
      </c>
    </row>
    <row r="11" customFormat="false" ht="15" hidden="false" customHeight="true" outlineLevel="0" collapsed="false">
      <c r="A11" s="11" t="s">
        <v>26</v>
      </c>
      <c r="B11" s="15" t="n">
        <f aca="false">Assumptions!$B$10</f>
        <v>0.18</v>
      </c>
    </row>
    <row r="12" customFormat="false" ht="15" hidden="false" customHeight="true" outlineLevel="0" collapsed="false">
      <c r="A12" s="11" t="s">
        <v>27</v>
      </c>
      <c r="B12" s="15" t="n">
        <f aca="false">Assumptions!$B$14</f>
        <v>0.1</v>
      </c>
    </row>
    <row r="13" customFormat="false" ht="15" hidden="false" customHeight="true" outlineLevel="0" collapsed="false">
      <c r="A13" s="11" t="s">
        <v>28</v>
      </c>
      <c r="B13" s="15" t="n">
        <f aca="false">Assumptions!$B$13</f>
        <v>0.14</v>
      </c>
    </row>
    <row r="14" customFormat="false" ht="15" hidden="false" customHeight="true" outlineLevel="0" collapsed="false">
      <c r="A14" s="11" t="s">
        <v>29</v>
      </c>
      <c r="B14" s="19" t="n">
        <f aca="false">Assumptions!$B$5</f>
        <v>34.7</v>
      </c>
    </row>
    <row r="15" customFormat="false" ht="15" hidden="false" customHeight="true" outlineLevel="0" collapsed="false">
      <c r="A15" s="11" t="s">
        <v>30</v>
      </c>
      <c r="B15" s="15" t="n">
        <f aca="false">Assumptions!$B$28</f>
        <v>0</v>
      </c>
    </row>
    <row r="16" customFormat="false" ht="15" hidden="false" customHeight="true" outlineLevel="0" collapsed="false">
      <c r="A16" s="11" t="s">
        <v>31</v>
      </c>
      <c r="B16" s="19" t="n">
        <f aca="false">SUM('Income Statement'!C4:Y4)</f>
        <v>461.9681</v>
      </c>
      <c r="C16" s="19" t="n">
        <f aca="false">SUM('Income Statement'!C18:Y18)</f>
        <v>73.5201847375</v>
      </c>
    </row>
    <row r="18" customFormat="false" ht="15" hidden="false" customHeight="true" outlineLevel="0" collapsed="false">
      <c r="A18" s="10" t="s">
        <v>32</v>
      </c>
    </row>
    <row r="19" customFormat="false" ht="15" hidden="false" customHeight="true" outlineLevel="0" collapsed="false">
      <c r="A19" s="6" t="s">
        <v>33</v>
      </c>
    </row>
    <row r="20" customFormat="false" ht="15" hidden="false" customHeight="true" outlineLevel="0" collapsed="false">
      <c r="A20" s="6" t="s">
        <v>34</v>
      </c>
    </row>
    <row r="21" customFormat="false" ht="15" hidden="false" customHeight="true" outlineLevel="0" collapsed="false">
      <c r="A21" s="6" t="s">
        <v>35</v>
      </c>
    </row>
    <row r="22" customFormat="false" ht="15" hidden="false" customHeight="true" outlineLevel="0" collapsed="false">
      <c r="A22" s="6" t="s">
        <v>36</v>
      </c>
    </row>
    <row r="23" customFormat="false" ht="15" hidden="false" customHeight="true" outlineLevel="0" collapsed="false">
      <c r="A23" s="6" t="s">
        <v>37</v>
      </c>
    </row>
    <row r="24" customFormat="false" ht="15" hidden="false" customHeight="true" outlineLevel="0" collapsed="false">
      <c r="A24" s="6" t="s">
        <v>38</v>
      </c>
    </row>
    <row r="25" customFormat="false" ht="15" hidden="false" customHeight="true" outlineLevel="0" collapsed="false">
      <c r="A25" s="6" t="s">
        <v>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4" min="2" style="0" width="12"/>
    <col collapsed="false" customWidth="true" hidden="false" outlineLevel="0" max="6" min="5" style="0" width="13"/>
  </cols>
  <sheetData>
    <row r="1" customFormat="false" ht="16.15" hidden="false" customHeight="false" outlineLevel="0" collapsed="false">
      <c r="A1" s="20" t="s">
        <v>40</v>
      </c>
      <c r="B1" s="21"/>
      <c r="C1" s="21"/>
      <c r="D1" s="21"/>
      <c r="E1" s="21"/>
      <c r="F1" s="21"/>
    </row>
    <row r="2" customFormat="false" ht="25.5" hidden="false" customHeight="true" outlineLevel="0" collapsed="false">
      <c r="A2" s="22" t="s">
        <v>41</v>
      </c>
      <c r="B2" s="21"/>
      <c r="C2" s="21"/>
      <c r="D2" s="21"/>
      <c r="E2" s="21"/>
      <c r="F2" s="21"/>
    </row>
    <row r="4" customFormat="false" ht="15" hidden="false" customHeight="false" outlineLevel="0" collapsed="false">
      <c r="A4" s="23" t="s">
        <v>42</v>
      </c>
      <c r="B4" s="24"/>
      <c r="C4" s="24"/>
      <c r="D4" s="24"/>
      <c r="E4" s="24"/>
      <c r="F4" s="24"/>
    </row>
    <row r="5" customFormat="false" ht="15" hidden="false" customHeight="false" outlineLevel="0" collapsed="false">
      <c r="A5" s="25" t="s">
        <v>43</v>
      </c>
      <c r="B5" s="26" t="s">
        <v>44</v>
      </c>
      <c r="C5" s="26" t="s">
        <v>45</v>
      </c>
      <c r="D5" s="26" t="s">
        <v>46</v>
      </c>
      <c r="E5" s="26"/>
      <c r="F5" s="26"/>
    </row>
    <row r="6" customFormat="false" ht="15" hidden="false" customHeight="false" outlineLevel="0" collapsed="false">
      <c r="A6" s="27" t="s">
        <v>47</v>
      </c>
      <c r="B6" s="28" t="n">
        <f aca="false">Valuation!D43</f>
        <v>19.8386256216266</v>
      </c>
      <c r="C6" s="29" t="n">
        <f aca="false">B6/$B$13-1</f>
        <v>0.594744824889597</v>
      </c>
      <c r="D6" s="29" t="n">
        <v>0.35</v>
      </c>
      <c r="E6" s="30" t="s">
        <v>48</v>
      </c>
      <c r="F6" s="30"/>
    </row>
    <row r="7" customFormat="false" ht="15" hidden="false" customHeight="false" outlineLevel="0" collapsed="false">
      <c r="A7" s="27" t="s">
        <v>49</v>
      </c>
      <c r="B7" s="28" t="n">
        <f aca="false">Valuation!B19</f>
        <v>21.9823660166652</v>
      </c>
      <c r="C7" s="29" t="n">
        <f aca="false">B7/$B$13-1</f>
        <v>0.767071223204598</v>
      </c>
      <c r="D7" s="29" t="n">
        <v>0.25</v>
      </c>
      <c r="E7" s="30" t="s">
        <v>50</v>
      </c>
      <c r="F7" s="30"/>
    </row>
    <row r="8" customFormat="false" ht="15" hidden="false" customHeight="false" outlineLevel="0" collapsed="false">
      <c r="A8" s="27" t="s">
        <v>51</v>
      </c>
      <c r="B8" s="28" t="n">
        <f aca="false">Valuation!B43</f>
        <v>23.4278321644942</v>
      </c>
      <c r="C8" s="29" t="n">
        <f aca="false">B8/$B$13-1</f>
        <v>0.88326625116513</v>
      </c>
      <c r="D8" s="29" t="n">
        <v>0.15</v>
      </c>
      <c r="E8" s="30" t="s">
        <v>52</v>
      </c>
      <c r="F8" s="30"/>
    </row>
    <row r="9" customFormat="false" ht="15" hidden="false" customHeight="false" outlineLevel="0" collapsed="false">
      <c r="A9" s="27" t="s">
        <v>53</v>
      </c>
      <c r="B9" s="28" t="n">
        <v>14.01</v>
      </c>
      <c r="C9" s="29" t="n">
        <f aca="false">B9/$B$13-1</f>
        <v>0.126205787781351</v>
      </c>
      <c r="D9" s="29" t="n">
        <v>0.25</v>
      </c>
      <c r="E9" s="30" t="s">
        <v>54</v>
      </c>
      <c r="F9" s="30"/>
    </row>
    <row r="10" customFormat="false" ht="15" hidden="false" customHeight="false" outlineLevel="0" collapsed="false">
      <c r="A10" s="31" t="s">
        <v>55</v>
      </c>
      <c r="B10" s="32" t="n">
        <f aca="false">SUMPRODUCT(B6:B9,D6:D9)</f>
        <v>19.4557852964097</v>
      </c>
      <c r="C10" s="33" t="n">
        <f aca="false">B10/$B$13-1</f>
        <v>0.563969879132616</v>
      </c>
      <c r="D10" s="33" t="n">
        <f aca="false">SUM(D6:D9)</f>
        <v>1</v>
      </c>
      <c r="E10" s="34" t="s">
        <v>56</v>
      </c>
      <c r="F10" s="34"/>
    </row>
    <row r="13" customFormat="false" ht="15" hidden="false" customHeight="false" outlineLevel="0" collapsed="false">
      <c r="A13" s="35" t="s">
        <v>57</v>
      </c>
      <c r="B13" s="36" t="n">
        <v>12.44</v>
      </c>
    </row>
    <row r="14" customFormat="false" ht="15" hidden="false" customHeight="false" outlineLevel="0" collapsed="false">
      <c r="A14" s="23" t="s">
        <v>58</v>
      </c>
      <c r="B14" s="24"/>
      <c r="C14" s="24"/>
      <c r="D14" s="24"/>
      <c r="E14" s="24"/>
      <c r="F14" s="24"/>
    </row>
    <row r="15" customFormat="false" ht="15" hidden="false" customHeight="false" outlineLevel="0" collapsed="false">
      <c r="A15" s="25" t="s">
        <v>59</v>
      </c>
      <c r="B15" s="26" t="s">
        <v>60</v>
      </c>
      <c r="C15" s="26" t="s">
        <v>61</v>
      </c>
      <c r="D15" s="26" t="s">
        <v>62</v>
      </c>
      <c r="E15" s="26" t="s">
        <v>63</v>
      </c>
      <c r="F15" s="26" t="s">
        <v>64</v>
      </c>
    </row>
    <row r="16" customFormat="false" ht="15" hidden="false" customHeight="false" outlineLevel="0" collapsed="false">
      <c r="A16" s="27" t="s">
        <v>65</v>
      </c>
      <c r="B16" s="37" t="n">
        <f aca="false">$B$13/(Assumptions!$B$8/Assumptions!$B$4)</f>
        <v>1.02203137254902</v>
      </c>
      <c r="C16" s="37" t="n">
        <v>1</v>
      </c>
      <c r="D16" s="37" t="n">
        <v>1.4</v>
      </c>
      <c r="E16" s="38" t="n">
        <f aca="false">C16*(Assumptions!$B$8/Assumptions!$B$4)</f>
        <v>12.1718377088305</v>
      </c>
      <c r="F16" s="38" t="n">
        <f aca="false">D16*(Assumptions!$B$8/Assumptions!$B$4)</f>
        <v>17.0405727923628</v>
      </c>
    </row>
    <row r="17" customFormat="false" ht="15" hidden="false" customHeight="false" outlineLevel="0" collapsed="false">
      <c r="A17" s="27" t="s">
        <v>66</v>
      </c>
      <c r="B17" s="37" t="n">
        <f aca="false">$B$13/0.91</f>
        <v>13.6703296703297</v>
      </c>
      <c r="C17" s="37" t="n">
        <v>8</v>
      </c>
      <c r="D17" s="37" t="n">
        <v>11</v>
      </c>
      <c r="E17" s="38" t="n">
        <f aca="false">C17*1.15</f>
        <v>9.2</v>
      </c>
      <c r="F17" s="38" t="n">
        <f aca="false">D17*1.15</f>
        <v>12.65</v>
      </c>
    </row>
    <row r="18" customFormat="false" ht="15" hidden="false" customHeight="false" outlineLevel="0" collapsed="false">
      <c r="A18" s="27" t="s">
        <v>67</v>
      </c>
      <c r="B18" s="37" t="n">
        <f aca="false">($B$13*Assumptions!$B$4-Assumptions!$B$5)/110</f>
        <v>0.300551636363636</v>
      </c>
      <c r="C18" s="37" t="n">
        <v>0.4</v>
      </c>
      <c r="D18" s="37" t="n">
        <v>0.5</v>
      </c>
      <c r="E18" s="38" t="n">
        <f aca="false">(C18*110+Assumptions!$B$5)/Assumptions!$B$4</f>
        <v>14.4483201762438</v>
      </c>
      <c r="F18" s="38" t="n">
        <f aca="false">(D18*110+Assumptions!$B$5)/Assumptions!$B$4</f>
        <v>16.4677804295943</v>
      </c>
    </row>
    <row r="19" customFormat="false" ht="15" hidden="false" customHeight="false" outlineLevel="0" collapsed="false">
      <c r="A19" s="27" t="s">
        <v>68</v>
      </c>
      <c r="B19" s="39" t="s">
        <v>69</v>
      </c>
      <c r="C19" s="29" t="n">
        <v>0.25</v>
      </c>
      <c r="D19" s="29" t="n">
        <v>0.35</v>
      </c>
      <c r="E19" s="38" t="n">
        <f aca="false">(1-D19)*Valuation!B43</f>
        <v>15.2280909069212</v>
      </c>
      <c r="F19" s="38" t="n">
        <f aca="false">(1-C19)*Valuation!D43</f>
        <v>14.8789692162199</v>
      </c>
    </row>
    <row r="20" customFormat="false" ht="15" hidden="false" customHeight="false" outlineLevel="0" collapsed="false">
      <c r="A20" s="40" t="s">
        <v>70</v>
      </c>
      <c r="B20" s="28" t="n">
        <v>14.01</v>
      </c>
      <c r="C20" s="27"/>
      <c r="D20" s="27"/>
      <c r="E20" s="27"/>
      <c r="F20" s="27"/>
    </row>
    <row r="22" customFormat="false" ht="15" hidden="false" customHeight="false" outlineLevel="0" collapsed="false">
      <c r="A22" s="23" t="s">
        <v>71</v>
      </c>
      <c r="B22" s="24"/>
      <c r="C22" s="24"/>
      <c r="D22" s="24"/>
      <c r="E22" s="24"/>
      <c r="F22" s="24"/>
    </row>
    <row r="23" customFormat="false" ht="15" hidden="false" customHeight="false" outlineLevel="0" collapsed="false">
      <c r="A23" s="27" t="s">
        <v>72</v>
      </c>
      <c r="B23" s="28" t="n">
        <v>13.71</v>
      </c>
      <c r="C23" s="30" t="s">
        <v>73</v>
      </c>
      <c r="D23" s="30"/>
      <c r="E23" s="30"/>
      <c r="F23" s="30"/>
    </row>
    <row r="24" customFormat="false" ht="15" hidden="false" customHeight="false" outlineLevel="0" collapsed="false">
      <c r="A24" s="27" t="s">
        <v>74</v>
      </c>
      <c r="B24" s="28" t="n">
        <f aca="false">B10</f>
        <v>19.4557852964097</v>
      </c>
      <c r="C24" s="30" t="s">
        <v>75</v>
      </c>
      <c r="D24" s="30"/>
      <c r="E24" s="30"/>
      <c r="F24" s="30"/>
    </row>
    <row r="25" customFormat="false" ht="15" hidden="false" customHeight="false" outlineLevel="0" collapsed="false">
      <c r="A25" s="27" t="s">
        <v>76</v>
      </c>
      <c r="B25" s="28" t="n">
        <f aca="false">Valuation!B43</f>
        <v>23.4278321644942</v>
      </c>
      <c r="C25" s="30" t="s">
        <v>77</v>
      </c>
      <c r="D25" s="30"/>
      <c r="E25" s="30"/>
      <c r="F25" s="30"/>
    </row>
    <row r="26" customFormat="false" ht="15" hidden="false" customHeight="false" outlineLevel="0" collapsed="false">
      <c r="A26" s="27" t="s">
        <v>78</v>
      </c>
      <c r="B26" s="28" t="n">
        <v>12.44</v>
      </c>
      <c r="C26" s="30" t="s">
        <v>79</v>
      </c>
      <c r="D26" s="30"/>
      <c r="E26" s="30"/>
      <c r="F26" s="30"/>
    </row>
    <row r="27" customFormat="false" ht="15" hidden="false" customHeight="false" outlineLevel="0" collapsed="false">
      <c r="A27" s="27" t="s">
        <v>80</v>
      </c>
      <c r="B27" s="29" t="n">
        <f aca="false">1-$B$13/Valuation!D43</f>
        <v>0.37294043260543</v>
      </c>
      <c r="C27" s="29" t="n">
        <f aca="false">1-$B$13/Valuation!B43</f>
        <v>0.46900763533498</v>
      </c>
      <c r="D27" s="30" t="s">
        <v>81</v>
      </c>
      <c r="E27" s="30"/>
      <c r="F27" s="30"/>
    </row>
    <row r="29" customFormat="false" ht="42" hidden="false" customHeight="true" outlineLevel="0" collapsed="false">
      <c r="A29" s="41" t="s">
        <v>82</v>
      </c>
      <c r="B29" s="41"/>
      <c r="C29" s="41"/>
      <c r="D29" s="41"/>
      <c r="E29" s="41"/>
      <c r="F29" s="41"/>
    </row>
  </sheetData>
  <mergeCells count="11">
    <mergeCell ref="E6:F6"/>
    <mergeCell ref="E7:F7"/>
    <mergeCell ref="E8:F8"/>
    <mergeCell ref="E9:F9"/>
    <mergeCell ref="E10:F10"/>
    <mergeCell ref="C23:F23"/>
    <mergeCell ref="C24:F24"/>
    <mergeCell ref="C25:F25"/>
    <mergeCell ref="C26:F26"/>
    <mergeCell ref="D27:F27"/>
    <mergeCell ref="A29:F2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26"/>
    <col collapsed="false" customWidth="true" hidden="false" outlineLevel="0" max="12" min="3" style="1" width="12"/>
  </cols>
  <sheetData>
    <row r="1" customFormat="false" ht="15.75" hidden="false" customHeight="true" outlineLevel="0" collapsed="false">
      <c r="A1" s="7" t="s">
        <v>83</v>
      </c>
      <c r="B1" s="8"/>
      <c r="C1" s="8"/>
      <c r="D1" s="8"/>
      <c r="E1" s="8"/>
      <c r="F1" s="8"/>
      <c r="G1" s="8"/>
      <c r="H1" s="8"/>
      <c r="I1" s="8"/>
      <c r="J1" s="8"/>
      <c r="K1" s="8"/>
      <c r="L1" s="8"/>
    </row>
    <row r="2" customFormat="false" ht="15" hidden="false" customHeight="true" outlineLevel="0" collapsed="false">
      <c r="A2" s="42" t="s">
        <v>84</v>
      </c>
      <c r="B2" s="8"/>
      <c r="C2" s="8"/>
      <c r="D2" s="8"/>
      <c r="E2" s="8"/>
      <c r="F2" s="8"/>
      <c r="G2" s="8"/>
      <c r="H2" s="8"/>
      <c r="I2" s="8"/>
      <c r="J2" s="8"/>
      <c r="K2" s="8"/>
      <c r="L2" s="8"/>
    </row>
    <row r="3" customFormat="false" ht="15" hidden="false" customHeight="true" outlineLevel="0" collapsed="false">
      <c r="A3" s="10" t="s">
        <v>85</v>
      </c>
    </row>
    <row r="4" customFormat="false" ht="15" hidden="false" customHeight="true" outlineLevel="0" collapsed="false">
      <c r="A4" s="11" t="s">
        <v>86</v>
      </c>
      <c r="B4" s="43" t="n">
        <v>5.447</v>
      </c>
    </row>
    <row r="5" customFormat="false" ht="15" hidden="false" customHeight="true" outlineLevel="0" collapsed="false">
      <c r="A5" s="11" t="s">
        <v>87</v>
      </c>
      <c r="B5" s="44" t="n">
        <v>34.7</v>
      </c>
    </row>
    <row r="6" customFormat="false" ht="15" hidden="false" customHeight="true" outlineLevel="0" collapsed="false">
      <c r="A6" s="11" t="s">
        <v>88</v>
      </c>
      <c r="B6" s="44" t="n">
        <v>7.8</v>
      </c>
    </row>
    <row r="7" customFormat="false" ht="15" hidden="false" customHeight="true" outlineLevel="0" collapsed="false">
      <c r="A7" s="11" t="s">
        <v>89</v>
      </c>
      <c r="B7" s="44" t="n">
        <v>42.6</v>
      </c>
    </row>
    <row r="8" customFormat="false" ht="15" hidden="false" customHeight="true" outlineLevel="0" collapsed="false">
      <c r="A8" s="11" t="s">
        <v>90</v>
      </c>
      <c r="B8" s="44" t="n">
        <v>66.3</v>
      </c>
    </row>
    <row r="9" customFormat="false" ht="15" hidden="false" customHeight="true" outlineLevel="0" collapsed="false">
      <c r="A9" s="11" t="s">
        <v>91</v>
      </c>
      <c r="B9" s="44" t="n">
        <v>192</v>
      </c>
    </row>
    <row r="10" customFormat="false" ht="15" hidden="false" customHeight="true" outlineLevel="0" collapsed="false">
      <c r="A10" s="11" t="s">
        <v>92</v>
      </c>
      <c r="B10" s="45" t="n">
        <v>0.18</v>
      </c>
    </row>
    <row r="11" customFormat="false" ht="15" hidden="false" customHeight="true" outlineLevel="0" collapsed="false">
      <c r="A11" s="11" t="s">
        <v>93</v>
      </c>
      <c r="B11" s="45" t="n">
        <v>0.225</v>
      </c>
    </row>
    <row r="12" customFormat="false" ht="15" hidden="false" customHeight="true" outlineLevel="0" collapsed="false">
      <c r="A12" s="11" t="s">
        <v>94</v>
      </c>
      <c r="B12" s="45" t="n">
        <v>0.18</v>
      </c>
    </row>
    <row r="13" customFormat="false" ht="15" hidden="false" customHeight="true" outlineLevel="0" collapsed="false">
      <c r="A13" s="11" t="s">
        <v>28</v>
      </c>
      <c r="B13" s="45" t="n">
        <v>0.14</v>
      </c>
    </row>
    <row r="14" customFormat="false" ht="15" hidden="false" customHeight="true" outlineLevel="0" collapsed="false">
      <c r="A14" s="11" t="s">
        <v>95</v>
      </c>
      <c r="B14" s="46" t="n">
        <v>0.1</v>
      </c>
    </row>
    <row r="15" customFormat="false" ht="15" hidden="false" customHeight="true" outlineLevel="0" collapsed="false">
      <c r="A15" s="11" t="s">
        <v>96</v>
      </c>
      <c r="B15" s="46" t="n">
        <v>0.45</v>
      </c>
    </row>
    <row r="16" customFormat="false" ht="15" hidden="false" customHeight="true" outlineLevel="0" collapsed="false">
      <c r="A16" s="11" t="s">
        <v>97</v>
      </c>
      <c r="B16" s="43" t="n">
        <v>8</v>
      </c>
    </row>
    <row r="17" customFormat="false" ht="15" hidden="false" customHeight="true" outlineLevel="0" collapsed="false">
      <c r="A17" s="11" t="s">
        <v>98</v>
      </c>
      <c r="B17" s="43" t="n">
        <v>4</v>
      </c>
    </row>
    <row r="18" customFormat="false" ht="15" hidden="false" customHeight="true" outlineLevel="0" collapsed="false">
      <c r="A18" s="11" t="s">
        <v>99</v>
      </c>
      <c r="B18" s="45" t="n">
        <v>0.05</v>
      </c>
    </row>
    <row r="19" customFormat="false" ht="15" hidden="false" customHeight="true" outlineLevel="0" collapsed="false">
      <c r="A19" s="11" t="s">
        <v>100</v>
      </c>
      <c r="B19" s="45" t="n">
        <v>0.005</v>
      </c>
    </row>
    <row r="20" customFormat="false" ht="15" hidden="false" customHeight="true" outlineLevel="0" collapsed="false">
      <c r="A20" s="11" t="s">
        <v>101</v>
      </c>
      <c r="B20" s="44" t="n">
        <v>20</v>
      </c>
    </row>
    <row r="21" customFormat="false" ht="15" hidden="false" customHeight="true" outlineLevel="0" collapsed="false">
      <c r="A21" s="11" t="s">
        <v>102</v>
      </c>
      <c r="B21" s="45" t="n">
        <v>0.05</v>
      </c>
    </row>
    <row r="22" customFormat="false" ht="15" hidden="false" customHeight="true" outlineLevel="0" collapsed="false">
      <c r="A22" s="11" t="s">
        <v>103</v>
      </c>
      <c r="B22" s="44" t="n">
        <v>12</v>
      </c>
    </row>
    <row r="23" customFormat="false" ht="15" hidden="false" customHeight="true" outlineLevel="0" collapsed="false">
      <c r="A23" s="11" t="s">
        <v>104</v>
      </c>
      <c r="B23" s="44" t="n">
        <v>76.4</v>
      </c>
    </row>
    <row r="24" customFormat="false" ht="15" hidden="false" customHeight="true" outlineLevel="0" collapsed="false">
      <c r="A24" s="11" t="s">
        <v>105</v>
      </c>
      <c r="B24" s="44" t="n">
        <v>-48.9</v>
      </c>
    </row>
    <row r="25" customFormat="false" ht="15" hidden="false" customHeight="true" outlineLevel="0" collapsed="false">
      <c r="A25" s="11" t="s">
        <v>106</v>
      </c>
      <c r="B25" s="44" t="n">
        <v>73</v>
      </c>
    </row>
    <row r="26" customFormat="false" ht="15" hidden="false" customHeight="true" outlineLevel="0" collapsed="false">
      <c r="A26" s="11" t="s">
        <v>107</v>
      </c>
      <c r="B26" s="44" t="n">
        <v>15</v>
      </c>
    </row>
    <row r="27" customFormat="false" ht="15" hidden="false" customHeight="true" outlineLevel="0" collapsed="false">
      <c r="A27" s="11" t="s">
        <v>108</v>
      </c>
      <c r="B27" s="44" t="n">
        <v>54</v>
      </c>
    </row>
    <row r="28" customFormat="false" ht="15" hidden="false" customHeight="true" outlineLevel="0" collapsed="false">
      <c r="A28" s="11" t="s">
        <v>109</v>
      </c>
      <c r="B28" s="47" t="n">
        <v>0</v>
      </c>
      <c r="C28" s="48" t="s">
        <v>110</v>
      </c>
      <c r="D28" s="45" t="n">
        <v>0</v>
      </c>
    </row>
    <row r="29" customFormat="false" ht="15" hidden="false" customHeight="true" outlineLevel="0" collapsed="false">
      <c r="A29" s="11" t="s">
        <v>111</v>
      </c>
      <c r="B29" s="46" t="n">
        <v>0.98</v>
      </c>
    </row>
    <row r="30" customFormat="false" ht="15" hidden="false" customHeight="true" outlineLevel="0" collapsed="false">
      <c r="A30" s="10" t="s">
        <v>112</v>
      </c>
    </row>
    <row r="31" customFormat="false" ht="15" hidden="false" customHeight="true" outlineLevel="0" collapsed="false">
      <c r="A31" s="11" t="s">
        <v>113</v>
      </c>
      <c r="B31" s="44" t="n">
        <v>1.9</v>
      </c>
    </row>
    <row r="32" customFormat="false" ht="15" hidden="false" customHeight="true" outlineLevel="0" collapsed="false">
      <c r="A32" s="11" t="s">
        <v>114</v>
      </c>
      <c r="B32" s="49" t="n">
        <v>6.5</v>
      </c>
    </row>
    <row r="33" customFormat="false" ht="15" hidden="false" customHeight="true" outlineLevel="0" collapsed="false">
      <c r="A33" s="11" t="s">
        <v>115</v>
      </c>
      <c r="B33" s="46" t="n">
        <v>0.8</v>
      </c>
    </row>
    <row r="34" customFormat="false" ht="15" hidden="false" customHeight="true" outlineLevel="0" collapsed="false">
      <c r="A34" s="11" t="s">
        <v>116</v>
      </c>
      <c r="B34" s="44" t="n">
        <v>0.95</v>
      </c>
    </row>
    <row r="35" customFormat="false" ht="15" hidden="false" customHeight="true" outlineLevel="0" collapsed="false">
      <c r="A35" s="11" t="s">
        <v>117</v>
      </c>
      <c r="B35" s="49" t="n">
        <v>7.5</v>
      </c>
    </row>
    <row r="36" customFormat="false" ht="15" hidden="false" customHeight="true" outlineLevel="0" collapsed="false">
      <c r="A36" s="11" t="s">
        <v>118</v>
      </c>
      <c r="B36" s="46" t="n">
        <v>0.85</v>
      </c>
    </row>
    <row r="37" customFormat="false" ht="15" hidden="false" customHeight="true" outlineLevel="0" collapsed="false">
      <c r="A37" s="11" t="s">
        <v>119</v>
      </c>
      <c r="B37" s="46" t="n">
        <v>0.6</v>
      </c>
    </row>
    <row r="38" customFormat="false" ht="15" hidden="false" customHeight="true" outlineLevel="0" collapsed="false">
      <c r="A38" s="10" t="s">
        <v>120</v>
      </c>
      <c r="B38" s="50"/>
      <c r="C38" s="50"/>
      <c r="D38" s="50"/>
      <c r="E38" s="50"/>
      <c r="F38" s="50"/>
      <c r="G38" s="50"/>
      <c r="H38" s="50"/>
    </row>
    <row r="39" customFormat="false" ht="15" hidden="false" customHeight="true" outlineLevel="0" collapsed="false">
      <c r="A39" s="51" t="s">
        <v>121</v>
      </c>
      <c r="B39" s="51" t="s">
        <v>122</v>
      </c>
      <c r="C39" s="52" t="s">
        <v>123</v>
      </c>
      <c r="D39" s="52" t="s">
        <v>124</v>
      </c>
      <c r="E39" s="52" t="s">
        <v>125</v>
      </c>
      <c r="F39" s="52" t="s">
        <v>126</v>
      </c>
      <c r="G39" s="52" t="s">
        <v>127</v>
      </c>
      <c r="H39" s="52" t="s">
        <v>128</v>
      </c>
      <c r="I39" s="52" t="s">
        <v>129</v>
      </c>
      <c r="J39" s="52" t="s">
        <v>130</v>
      </c>
      <c r="K39" s="52" t="s">
        <v>131</v>
      </c>
      <c r="L39" s="52" t="s">
        <v>132</v>
      </c>
    </row>
    <row r="40" customFormat="false" ht="15" hidden="false" customHeight="true" outlineLevel="0" collapsed="false">
      <c r="A40" s="11" t="s">
        <v>133</v>
      </c>
      <c r="B40" s="11" t="s">
        <v>134</v>
      </c>
      <c r="C40" s="53" t="n">
        <v>6.25</v>
      </c>
      <c r="D40" s="54" t="n">
        <v>0.11</v>
      </c>
      <c r="E40" s="55" t="n">
        <v>5000</v>
      </c>
      <c r="F40" s="54" t="n">
        <v>0.07</v>
      </c>
      <c r="G40" s="54" t="n">
        <v>1</v>
      </c>
      <c r="H40" s="56" t="n">
        <v>2026</v>
      </c>
      <c r="I40" s="56" t="n">
        <v>8</v>
      </c>
      <c r="J40" s="56" t="n">
        <v>7</v>
      </c>
      <c r="K40" s="54" t="n">
        <v>0.9</v>
      </c>
      <c r="L40" s="54" t="n">
        <v>0.7</v>
      </c>
    </row>
    <row r="41" customFormat="false" ht="15" hidden="false" customHeight="true" outlineLevel="0" collapsed="false">
      <c r="A41" s="11" t="s">
        <v>135</v>
      </c>
      <c r="B41" s="11" t="s">
        <v>136</v>
      </c>
      <c r="C41" s="53" t="n">
        <v>3.7</v>
      </c>
      <c r="D41" s="54" t="n">
        <v>0.16</v>
      </c>
      <c r="E41" s="55" t="n">
        <v>6000</v>
      </c>
      <c r="F41" s="54" t="n">
        <v>0.05</v>
      </c>
      <c r="G41" s="54" t="n">
        <v>1</v>
      </c>
      <c r="H41" s="56" t="n">
        <v>2026</v>
      </c>
      <c r="I41" s="56" t="n">
        <v>6</v>
      </c>
      <c r="J41" s="56" t="n">
        <v>5</v>
      </c>
      <c r="K41" s="54" t="n">
        <v>0.93</v>
      </c>
      <c r="L41" s="54" t="n">
        <v>0.8</v>
      </c>
    </row>
    <row r="42" customFormat="false" ht="15" hidden="false" customHeight="true" outlineLevel="0" collapsed="false">
      <c r="A42" s="11" t="s">
        <v>137</v>
      </c>
      <c r="B42" s="11" t="s">
        <v>138</v>
      </c>
      <c r="C42" s="53" t="n">
        <v>4.9</v>
      </c>
      <c r="D42" s="54" t="n">
        <v>0.14</v>
      </c>
      <c r="E42" s="55" t="n">
        <v>7000</v>
      </c>
      <c r="F42" s="54" t="n">
        <v>0.06</v>
      </c>
      <c r="G42" s="54" t="n">
        <v>1</v>
      </c>
      <c r="H42" s="56" t="n">
        <v>2026</v>
      </c>
      <c r="I42" s="56" t="n">
        <v>9</v>
      </c>
      <c r="J42" s="56" t="n">
        <v>8</v>
      </c>
      <c r="K42" s="54" t="n">
        <v>0.85</v>
      </c>
      <c r="L42" s="54" t="n">
        <v>0.55</v>
      </c>
    </row>
    <row r="43" customFormat="false" ht="15" hidden="false" customHeight="true" outlineLevel="0" collapsed="false">
      <c r="A43" s="11" t="s">
        <v>139</v>
      </c>
      <c r="B43" s="11" t="s">
        <v>140</v>
      </c>
      <c r="C43" s="53" t="n">
        <v>1</v>
      </c>
      <c r="D43" s="54" t="n">
        <v>0.18</v>
      </c>
      <c r="E43" s="55" t="n">
        <v>9000</v>
      </c>
      <c r="F43" s="54" t="n">
        <v>0.06</v>
      </c>
      <c r="G43" s="54" t="n">
        <v>1</v>
      </c>
      <c r="H43" s="56" t="n">
        <v>2026</v>
      </c>
      <c r="I43" s="56" t="n">
        <v>6</v>
      </c>
      <c r="J43" s="56" t="n">
        <v>5</v>
      </c>
      <c r="K43" s="54" t="n">
        <v>0.82</v>
      </c>
      <c r="L43" s="54" t="n">
        <v>0.5</v>
      </c>
    </row>
    <row r="44" customFormat="false" ht="15" hidden="false" customHeight="true" outlineLevel="0" collapsed="false">
      <c r="A44" s="11" t="s">
        <v>141</v>
      </c>
      <c r="B44" s="11" t="s">
        <v>142</v>
      </c>
      <c r="C44" s="53" t="n">
        <v>2.1</v>
      </c>
      <c r="D44" s="54" t="n">
        <v>0.16</v>
      </c>
      <c r="E44" s="55" t="n">
        <v>8000</v>
      </c>
      <c r="F44" s="54" t="n">
        <v>0.07</v>
      </c>
      <c r="G44" s="54" t="n">
        <v>1</v>
      </c>
      <c r="H44" s="56" t="n">
        <v>2026</v>
      </c>
      <c r="I44" s="56" t="n">
        <v>7</v>
      </c>
      <c r="J44" s="56" t="n">
        <v>6</v>
      </c>
      <c r="K44" s="54" t="n">
        <v>0.7</v>
      </c>
      <c r="L44" s="54" t="n">
        <v>0.25</v>
      </c>
    </row>
    <row r="45" customFormat="false" ht="15" hidden="false" customHeight="true" outlineLevel="0" collapsed="false">
      <c r="A45" s="11" t="s">
        <v>143</v>
      </c>
      <c r="B45" s="11" t="s">
        <v>144</v>
      </c>
      <c r="C45" s="53" t="n">
        <v>1.5</v>
      </c>
      <c r="D45" s="54" t="n">
        <v>0.12</v>
      </c>
      <c r="E45" s="55" t="n">
        <v>5000</v>
      </c>
      <c r="F45" s="54" t="n">
        <v>0.08</v>
      </c>
      <c r="G45" s="54" t="n">
        <v>1</v>
      </c>
      <c r="H45" s="56" t="n">
        <v>2026</v>
      </c>
      <c r="I45" s="56" t="n">
        <v>7</v>
      </c>
      <c r="J45" s="56" t="n">
        <v>6</v>
      </c>
      <c r="K45" s="54" t="n">
        <v>0.55</v>
      </c>
      <c r="L45" s="54" t="n">
        <v>0.15</v>
      </c>
    </row>
    <row r="46" customFormat="false" ht="15" hidden="false" customHeight="true" outlineLevel="0" collapsed="false">
      <c r="A46" s="11" t="s">
        <v>145</v>
      </c>
      <c r="B46" s="11" t="s">
        <v>146</v>
      </c>
      <c r="C46" s="53" t="n">
        <v>10</v>
      </c>
      <c r="D46" s="54" t="n">
        <v>0.1</v>
      </c>
      <c r="E46" s="55" t="n">
        <v>6000</v>
      </c>
      <c r="F46" s="54" t="n">
        <v>0.08</v>
      </c>
      <c r="G46" s="54" t="n">
        <v>0.25</v>
      </c>
      <c r="H46" s="56" t="n">
        <v>2027</v>
      </c>
      <c r="I46" s="56" t="n">
        <v>12</v>
      </c>
      <c r="J46" s="56" t="n">
        <v>12</v>
      </c>
      <c r="K46" s="54" t="n">
        <v>0.3</v>
      </c>
      <c r="L46" s="54" t="n">
        <v>0.08</v>
      </c>
    </row>
    <row r="47" customFormat="false" ht="15" hidden="false" customHeight="true" outlineLevel="0" collapsed="false">
      <c r="A47" s="11" t="s">
        <v>147</v>
      </c>
      <c r="B47" s="11" t="s">
        <v>148</v>
      </c>
      <c r="C47" s="53" t="n">
        <v>3</v>
      </c>
      <c r="D47" s="54" t="n">
        <v>0.12</v>
      </c>
      <c r="E47" s="55" t="n">
        <v>5000</v>
      </c>
      <c r="F47" s="54" t="n">
        <v>0.07</v>
      </c>
      <c r="G47" s="54" t="n">
        <v>1</v>
      </c>
      <c r="H47" s="56" t="n">
        <v>2030</v>
      </c>
      <c r="I47" s="56" t="n">
        <v>8</v>
      </c>
      <c r="J47" s="56" t="n">
        <v>7</v>
      </c>
      <c r="K47" s="54" t="n">
        <v>0.32</v>
      </c>
      <c r="L47" s="54" t="n">
        <v>0</v>
      </c>
    </row>
    <row r="48" customFormat="false" ht="15" hidden="false" customHeight="true" outlineLevel="0" collapsed="false">
      <c r="A48" s="11"/>
      <c r="B48" s="11"/>
      <c r="C48" s="57"/>
      <c r="D48" s="58"/>
      <c r="E48" s="59"/>
      <c r="F48" s="58"/>
      <c r="G48" s="60"/>
      <c r="H48" s="61"/>
      <c r="I48" s="59"/>
      <c r="J48" s="59"/>
      <c r="K48" s="60"/>
      <c r="L48" s="60"/>
    </row>
    <row r="49" customFormat="false" ht="15" hidden="false" customHeight="true" outlineLevel="0" collapsed="false">
      <c r="A49" s="10" t="s">
        <v>149</v>
      </c>
      <c r="B49" s="62"/>
      <c r="C49" s="63"/>
      <c r="D49" s="64"/>
      <c r="E49" s="65"/>
      <c r="F49" s="64"/>
      <c r="G49" s="66"/>
      <c r="H49" s="67"/>
      <c r="I49" s="59"/>
      <c r="J49" s="59"/>
      <c r="K49" s="60"/>
      <c r="L49" s="60"/>
    </row>
    <row r="50" customFormat="false" ht="15" hidden="false" customHeight="true" outlineLevel="0" collapsed="false">
      <c r="A50" s="11" t="s">
        <v>150</v>
      </c>
      <c r="B50" s="44" t="n">
        <v>110</v>
      </c>
      <c r="C50" s="57"/>
      <c r="D50" s="58"/>
      <c r="E50" s="59"/>
      <c r="F50" s="58"/>
      <c r="G50" s="60"/>
      <c r="H50" s="61"/>
      <c r="I50" s="59"/>
      <c r="J50" s="59"/>
      <c r="K50" s="60"/>
      <c r="L50" s="60"/>
    </row>
    <row r="51" customFormat="false" ht="15" hidden="false" customHeight="true" outlineLevel="0" collapsed="false">
      <c r="A51" s="11" t="s">
        <v>151</v>
      </c>
      <c r="B51" s="46" t="n">
        <v>0.4</v>
      </c>
      <c r="C51" s="57"/>
      <c r="D51" s="58"/>
      <c r="E51" s="59"/>
      <c r="F51" s="58"/>
      <c r="G51" s="60"/>
      <c r="H51" s="61"/>
      <c r="I51" s="59"/>
      <c r="J51" s="59"/>
      <c r="K51" s="60"/>
      <c r="L51" s="60"/>
    </row>
    <row r="52" customFormat="false" ht="15" hidden="false" customHeight="true" outlineLevel="0" collapsed="false">
      <c r="A52" s="11" t="s">
        <v>152</v>
      </c>
      <c r="B52" s="46" t="n">
        <v>0.65</v>
      </c>
    </row>
    <row r="53" customFormat="false" ht="15" hidden="false" customHeight="true" outlineLevel="0" collapsed="false">
      <c r="A53" s="11" t="s">
        <v>153</v>
      </c>
      <c r="B53" s="68" t="n">
        <v>6</v>
      </c>
    </row>
    <row r="54" customFormat="false" ht="15" hidden="false" customHeight="true" outlineLevel="0" collapsed="false">
      <c r="A54" s="11" t="s">
        <v>154</v>
      </c>
      <c r="B54" s="68" t="n">
        <v>6</v>
      </c>
    </row>
    <row r="55" customFormat="false" ht="15" hidden="false" customHeight="true" outlineLevel="0" collapsed="false">
      <c r="A55" s="11" t="s">
        <v>155</v>
      </c>
      <c r="B55" s="46" t="n">
        <v>0.42</v>
      </c>
    </row>
    <row r="56" customFormat="false" ht="15" hidden="false" customHeight="true" outlineLevel="0" collapsed="false">
      <c r="A56" s="11" t="s">
        <v>156</v>
      </c>
      <c r="B56" s="46" t="n">
        <v>0.97</v>
      </c>
    </row>
    <row r="57" customFormat="false" ht="15" hidden="false" customHeight="true" outlineLevel="0" collapsed="false">
      <c r="A57" s="11"/>
      <c r="B57" s="69"/>
    </row>
    <row r="58" customFormat="false" ht="15" hidden="false" customHeight="true" outlineLevel="0" collapsed="false">
      <c r="A58" s="10" t="s">
        <v>157</v>
      </c>
      <c r="B58" s="70"/>
      <c r="C58" s="50"/>
      <c r="D58" s="50"/>
      <c r="E58" s="50"/>
      <c r="F58" s="50"/>
      <c r="G58" s="50"/>
      <c r="H58" s="50"/>
    </row>
    <row r="59" customFormat="false" ht="15" hidden="false" customHeight="true" outlineLevel="0" collapsed="false">
      <c r="A59" s="51" t="s">
        <v>121</v>
      </c>
      <c r="B59" s="71" t="s">
        <v>158</v>
      </c>
      <c r="C59" s="51" t="s">
        <v>159</v>
      </c>
      <c r="D59" s="51" t="s">
        <v>160</v>
      </c>
      <c r="E59" s="51" t="s">
        <v>161</v>
      </c>
      <c r="F59" s="51" t="s">
        <v>162</v>
      </c>
    </row>
    <row r="60" customFormat="false" ht="15" hidden="false" customHeight="true" outlineLevel="0" collapsed="false">
      <c r="A60" s="11" t="s">
        <v>133</v>
      </c>
      <c r="B60" s="15" t="s">
        <v>163</v>
      </c>
      <c r="C60" s="46" t="n">
        <v>0.55</v>
      </c>
      <c r="D60" s="43" t="n">
        <v>120</v>
      </c>
      <c r="E60" s="43" t="n">
        <v>130000</v>
      </c>
      <c r="F60" s="43" t="n">
        <v>38000</v>
      </c>
    </row>
    <row r="61" customFormat="false" ht="15" hidden="false" customHeight="true" outlineLevel="0" collapsed="false">
      <c r="A61" s="72"/>
      <c r="B61" s="11" t="s">
        <v>164</v>
      </c>
      <c r="C61" s="46" t="n">
        <v>0.25</v>
      </c>
      <c r="D61" s="43" t="n">
        <v>190</v>
      </c>
      <c r="E61" s="43" t="n">
        <v>155000</v>
      </c>
      <c r="F61" s="43" t="n">
        <v>45000</v>
      </c>
    </row>
    <row r="62" customFormat="false" ht="15" hidden="false" customHeight="true" outlineLevel="0" collapsed="false">
      <c r="A62" s="73"/>
      <c r="B62" s="11" t="s">
        <v>165</v>
      </c>
      <c r="C62" s="54" t="n">
        <v>0.2</v>
      </c>
      <c r="D62" s="55" t="n">
        <v>330</v>
      </c>
      <c r="E62" s="55" t="n">
        <v>200000</v>
      </c>
      <c r="F62" s="55" t="n">
        <v>58000</v>
      </c>
    </row>
    <row r="63" customFormat="false" ht="15" hidden="false" customHeight="true" outlineLevel="0" collapsed="false">
      <c r="A63" s="11" t="s">
        <v>135</v>
      </c>
      <c r="B63" s="11" t="s">
        <v>166</v>
      </c>
      <c r="C63" s="46" t="n">
        <v>0.5</v>
      </c>
      <c r="D63" s="43" t="n">
        <v>150</v>
      </c>
      <c r="E63" s="43" t="n">
        <v>95000</v>
      </c>
      <c r="F63" s="43" t="n">
        <v>30000</v>
      </c>
    </row>
    <row r="64" customFormat="false" ht="15" hidden="false" customHeight="true" outlineLevel="0" collapsed="false">
      <c r="B64" s="11" t="s">
        <v>167</v>
      </c>
      <c r="C64" s="46" t="n">
        <v>0.3</v>
      </c>
      <c r="D64" s="43" t="n">
        <v>230</v>
      </c>
      <c r="E64" s="43" t="n">
        <v>120000</v>
      </c>
      <c r="F64" s="43" t="n">
        <v>36000</v>
      </c>
    </row>
    <row r="65" customFormat="false" ht="15" hidden="false" customHeight="true" outlineLevel="0" collapsed="false">
      <c r="B65" s="11" t="s">
        <v>165</v>
      </c>
      <c r="C65" s="46" t="n">
        <v>0.2</v>
      </c>
      <c r="D65" s="43" t="n">
        <v>350</v>
      </c>
      <c r="E65" s="43" t="n">
        <v>155000</v>
      </c>
      <c r="F65" s="43" t="n">
        <v>46000</v>
      </c>
    </row>
    <row r="66" customFormat="false" ht="15" hidden="false" customHeight="true" outlineLevel="0" collapsed="false">
      <c r="A66" s="11" t="s">
        <v>137</v>
      </c>
      <c r="B66" s="11" t="s">
        <v>166</v>
      </c>
      <c r="C66" s="46" t="n">
        <v>0.5</v>
      </c>
      <c r="D66" s="43" t="n">
        <v>150</v>
      </c>
      <c r="E66" s="43" t="n">
        <v>100000</v>
      </c>
      <c r="F66" s="43" t="n">
        <v>32000</v>
      </c>
    </row>
    <row r="67" customFormat="false" ht="15" hidden="false" customHeight="true" outlineLevel="0" collapsed="false">
      <c r="B67" s="11" t="s">
        <v>167</v>
      </c>
      <c r="C67" s="46" t="n">
        <v>0.3</v>
      </c>
      <c r="D67" s="43" t="n">
        <v>225</v>
      </c>
      <c r="E67" s="43" t="n">
        <v>125000</v>
      </c>
      <c r="F67" s="43" t="n">
        <v>38000</v>
      </c>
    </row>
    <row r="68" customFormat="false" ht="15" hidden="false" customHeight="true" outlineLevel="0" collapsed="false">
      <c r="B68" s="11" t="s">
        <v>165</v>
      </c>
      <c r="C68" s="46" t="n">
        <v>0.2</v>
      </c>
      <c r="D68" s="43" t="n">
        <v>345</v>
      </c>
      <c r="E68" s="43" t="n">
        <v>165000</v>
      </c>
      <c r="F68" s="43" t="n">
        <v>48000</v>
      </c>
    </row>
    <row r="69" customFormat="false" ht="15" hidden="false" customHeight="true" outlineLevel="0" collapsed="false">
      <c r="A69" s="11" t="s">
        <v>139</v>
      </c>
      <c r="B69" s="11" t="s">
        <v>166</v>
      </c>
      <c r="C69" s="46" t="n">
        <v>0.45</v>
      </c>
      <c r="D69" s="43" t="n">
        <v>150</v>
      </c>
      <c r="E69" s="43" t="n">
        <v>115000</v>
      </c>
      <c r="F69" s="43" t="n">
        <v>36000</v>
      </c>
    </row>
    <row r="70" customFormat="false" ht="15" hidden="false" customHeight="true" outlineLevel="0" collapsed="false">
      <c r="B70" s="11" t="s">
        <v>167</v>
      </c>
      <c r="C70" s="46" t="n">
        <v>0.3</v>
      </c>
      <c r="D70" s="43" t="n">
        <v>220</v>
      </c>
      <c r="E70" s="43" t="n">
        <v>140000</v>
      </c>
      <c r="F70" s="43" t="n">
        <v>42000</v>
      </c>
    </row>
    <row r="71" customFormat="false" ht="15" hidden="false" customHeight="true" outlineLevel="0" collapsed="false">
      <c r="B71" s="11" t="s">
        <v>165</v>
      </c>
      <c r="C71" s="46" t="n">
        <v>0.25</v>
      </c>
      <c r="D71" s="43" t="n">
        <v>340</v>
      </c>
      <c r="E71" s="43" t="n">
        <v>180000</v>
      </c>
      <c r="F71" s="43" t="n">
        <v>50000</v>
      </c>
    </row>
    <row r="72" customFormat="false" ht="15" hidden="false" customHeight="true" outlineLevel="0" collapsed="false">
      <c r="A72" s="11" t="s">
        <v>141</v>
      </c>
      <c r="B72" s="11" t="s">
        <v>166</v>
      </c>
      <c r="C72" s="46" t="n">
        <v>0.4</v>
      </c>
      <c r="D72" s="43" t="n">
        <v>150</v>
      </c>
      <c r="E72" s="43" t="n">
        <v>110000</v>
      </c>
      <c r="F72" s="43" t="n">
        <v>35000</v>
      </c>
    </row>
    <row r="73" customFormat="false" ht="15" hidden="false" customHeight="true" outlineLevel="0" collapsed="false">
      <c r="B73" s="11" t="s">
        <v>167</v>
      </c>
      <c r="C73" s="46" t="n">
        <v>0.3</v>
      </c>
      <c r="D73" s="43" t="n">
        <v>225</v>
      </c>
      <c r="E73" s="43" t="n">
        <v>135000</v>
      </c>
      <c r="F73" s="43" t="n">
        <v>41000</v>
      </c>
    </row>
    <row r="74" customFormat="false" ht="15" hidden="false" customHeight="true" outlineLevel="0" collapsed="false">
      <c r="B74" s="11" t="s">
        <v>165</v>
      </c>
      <c r="C74" s="46" t="n">
        <v>0.3</v>
      </c>
      <c r="D74" s="43" t="n">
        <v>350</v>
      </c>
      <c r="E74" s="43" t="n">
        <v>175000</v>
      </c>
      <c r="F74" s="43" t="n">
        <v>49000</v>
      </c>
    </row>
    <row r="75" customFormat="false" ht="15" hidden="false" customHeight="true" outlineLevel="0" collapsed="false">
      <c r="A75" s="11" t="s">
        <v>143</v>
      </c>
      <c r="B75" s="11" t="s">
        <v>163</v>
      </c>
      <c r="C75" s="46" t="n">
        <v>0.6</v>
      </c>
      <c r="D75" s="43" t="n">
        <v>115</v>
      </c>
      <c r="E75" s="43" t="n">
        <v>100000</v>
      </c>
      <c r="F75" s="43" t="n">
        <v>32000</v>
      </c>
    </row>
    <row r="76" customFormat="false" ht="15" hidden="false" customHeight="true" outlineLevel="0" collapsed="false">
      <c r="B76" s="11" t="s">
        <v>164</v>
      </c>
      <c r="C76" s="46" t="n">
        <v>0.25</v>
      </c>
      <c r="D76" s="43" t="n">
        <v>185</v>
      </c>
      <c r="E76" s="43" t="n">
        <v>120000</v>
      </c>
      <c r="F76" s="43" t="n">
        <v>37000</v>
      </c>
    </row>
    <row r="77" customFormat="false" ht="15" hidden="false" customHeight="true" outlineLevel="0" collapsed="false">
      <c r="B77" s="11" t="s">
        <v>165</v>
      </c>
      <c r="C77" s="46" t="n">
        <v>0.15</v>
      </c>
      <c r="D77" s="43" t="n">
        <v>320</v>
      </c>
      <c r="E77" s="43" t="n">
        <v>150000</v>
      </c>
      <c r="F77" s="43" t="n">
        <v>46000</v>
      </c>
    </row>
    <row r="78" customFormat="false" ht="15" hidden="false" customHeight="true" outlineLevel="0" collapsed="false">
      <c r="A78" s="11" t="s">
        <v>145</v>
      </c>
      <c r="B78" s="11" t="s">
        <v>163</v>
      </c>
      <c r="C78" s="46" t="n">
        <v>0.55</v>
      </c>
      <c r="D78" s="43" t="n">
        <v>120</v>
      </c>
      <c r="E78" s="43" t="n">
        <v>104000</v>
      </c>
      <c r="F78" s="43" t="n">
        <v>35000</v>
      </c>
    </row>
    <row r="79" customFormat="false" ht="15" hidden="false" customHeight="true" outlineLevel="0" collapsed="false">
      <c r="B79" s="11" t="s">
        <v>164</v>
      </c>
      <c r="C79" s="46" t="n">
        <v>0.25</v>
      </c>
      <c r="D79" s="43" t="n">
        <v>190</v>
      </c>
      <c r="E79" s="43" t="n">
        <v>128000</v>
      </c>
      <c r="F79" s="43" t="n">
        <v>42000</v>
      </c>
    </row>
    <row r="80" customFormat="false" ht="15" hidden="false" customHeight="true" outlineLevel="0" collapsed="false">
      <c r="B80" s="11" t="s">
        <v>165</v>
      </c>
      <c r="C80" s="46" t="n">
        <v>0.2</v>
      </c>
      <c r="D80" s="43" t="n">
        <v>330</v>
      </c>
      <c r="E80" s="43" t="n">
        <v>166000</v>
      </c>
      <c r="F80" s="43" t="n">
        <v>52000</v>
      </c>
    </row>
    <row r="81" customFormat="false" ht="15" hidden="false" customHeight="true" outlineLevel="0" collapsed="false">
      <c r="A81" s="11" t="s">
        <v>147</v>
      </c>
      <c r="B81" s="11" t="s">
        <v>166</v>
      </c>
      <c r="C81" s="46" t="n">
        <v>0.55</v>
      </c>
      <c r="D81" s="43" t="n">
        <v>135</v>
      </c>
      <c r="E81" s="43" t="n">
        <v>80000</v>
      </c>
      <c r="F81" s="43" t="n">
        <v>26000</v>
      </c>
    </row>
    <row r="82" customFormat="false" ht="15" hidden="false" customHeight="true" outlineLevel="0" collapsed="false">
      <c r="B82" s="11" t="s">
        <v>167</v>
      </c>
      <c r="C82" s="46" t="n">
        <v>0.3</v>
      </c>
      <c r="D82" s="43" t="n">
        <v>210</v>
      </c>
      <c r="E82" s="43" t="n">
        <v>95000</v>
      </c>
      <c r="F82" s="43" t="n">
        <v>30000</v>
      </c>
    </row>
    <row r="83" customFormat="false" ht="15" hidden="false" customHeight="true" outlineLevel="0" collapsed="false">
      <c r="B83" s="11" t="s">
        <v>165</v>
      </c>
      <c r="C83" s="46" t="n">
        <v>0.15</v>
      </c>
      <c r="D83" s="43" t="n">
        <v>330</v>
      </c>
      <c r="E83" s="43" t="n">
        <v>120000</v>
      </c>
      <c r="F83" s="43" t="n">
        <v>38000</v>
      </c>
    </row>
    <row r="84" customFormat="false" ht="15" hidden="false" customHeight="true" outlineLevel="0" collapsed="false">
      <c r="A84" s="11"/>
      <c r="B84" s="11"/>
      <c r="C84" s="74"/>
      <c r="D84" s="69"/>
      <c r="E84" s="69"/>
      <c r="F84" s="69"/>
    </row>
    <row r="85" customFormat="false" ht="15" hidden="false" customHeight="true" outlineLevel="0" collapsed="false">
      <c r="B85" s="11"/>
      <c r="C85" s="74"/>
      <c r="D85" s="69"/>
      <c r="E85" s="69"/>
      <c r="F85" s="69"/>
    </row>
    <row r="86" customFormat="false" ht="15" hidden="false" customHeight="true" outlineLevel="0" collapsed="false">
      <c r="B86" s="11"/>
      <c r="C86" s="74"/>
      <c r="D86" s="69"/>
      <c r="E86" s="69"/>
      <c r="F86" s="69"/>
    </row>
    <row r="87" customFormat="false" ht="15" hidden="false" customHeight="true" outlineLevel="0" collapsed="false">
      <c r="A87" s="11"/>
      <c r="B87" s="11"/>
      <c r="C87" s="74"/>
      <c r="D87" s="69"/>
      <c r="E87" s="69"/>
      <c r="F87" s="69"/>
    </row>
    <row r="88" customFormat="false" ht="15" hidden="false" customHeight="true" outlineLevel="0" collapsed="false">
      <c r="B88" s="11"/>
      <c r="C88" s="74"/>
      <c r="D88" s="69"/>
      <c r="E88" s="69"/>
      <c r="F88" s="69"/>
    </row>
    <row r="89" customFormat="false" ht="15" hidden="false" customHeight="true" outlineLevel="0" collapsed="false">
      <c r="B89" s="11"/>
      <c r="C89" s="74"/>
      <c r="D89" s="69"/>
      <c r="E89" s="69"/>
      <c r="F89" s="69"/>
    </row>
    <row r="90" customFormat="false" ht="15" hidden="false" customHeight="true" outlineLevel="0" collapsed="false">
      <c r="A90" s="11"/>
      <c r="B90" s="11"/>
      <c r="C90" s="74"/>
      <c r="D90" s="69"/>
      <c r="E90" s="69"/>
      <c r="F90" s="69"/>
    </row>
    <row r="91" customFormat="false" ht="15" hidden="false" customHeight="true" outlineLevel="0" collapsed="false">
      <c r="B91" s="11"/>
      <c r="C91" s="74"/>
      <c r="D91" s="69"/>
      <c r="E91" s="69"/>
      <c r="F91" s="69"/>
    </row>
    <row r="92" customFormat="false" ht="15" hidden="false" customHeight="true" outlineLevel="0" collapsed="false">
      <c r="B92" s="11"/>
      <c r="C92" s="74"/>
      <c r="D92" s="69"/>
      <c r="E92" s="69"/>
      <c r="F92" s="69"/>
    </row>
    <row r="93" customFormat="false" ht="15" hidden="false" customHeight="true" outlineLevel="0" collapsed="false">
      <c r="A93" s="11"/>
      <c r="B93" s="11"/>
      <c r="C93" s="74"/>
      <c r="D93" s="69"/>
      <c r="E93" s="69"/>
      <c r="F93" s="69"/>
    </row>
    <row r="94" customFormat="false" ht="15" hidden="false" customHeight="true" outlineLevel="0" collapsed="false">
      <c r="B94" s="11"/>
      <c r="C94" s="74"/>
      <c r="D94" s="69"/>
      <c r="E94" s="69"/>
      <c r="F94" s="69"/>
    </row>
    <row r="95" customFormat="false" ht="15" hidden="false" customHeight="true" outlineLevel="0" collapsed="false">
      <c r="B95" s="11"/>
      <c r="C95" s="74"/>
      <c r="D95" s="69"/>
      <c r="E95" s="69"/>
      <c r="F95" s="69"/>
    </row>
    <row r="96" customFormat="false" ht="15" hidden="false" customHeight="true" outlineLevel="0" collapsed="false">
      <c r="A96" s="11"/>
      <c r="B96" s="11"/>
      <c r="C96" s="74"/>
      <c r="D96" s="69"/>
      <c r="E96" s="69"/>
      <c r="F96" s="69"/>
    </row>
    <row r="97" customFormat="false" ht="15" hidden="false" customHeight="true" outlineLevel="0" collapsed="false">
      <c r="B97" s="11"/>
      <c r="C97" s="74"/>
      <c r="D97" s="69"/>
      <c r="E97" s="69"/>
      <c r="F97" s="69"/>
    </row>
    <row r="98" customFormat="false" ht="15" hidden="false" customHeight="true" outlineLevel="0" collapsed="false">
      <c r="B98" s="11"/>
      <c r="C98" s="74"/>
      <c r="D98" s="69"/>
      <c r="E98" s="69"/>
      <c r="F98" s="6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8" min="2" style="1" width="14"/>
  </cols>
  <sheetData>
    <row r="1" customFormat="false" ht="15.75" hidden="false" customHeight="true" outlineLevel="0" collapsed="false">
      <c r="A1" s="7" t="s">
        <v>168</v>
      </c>
    </row>
    <row r="2" customFormat="false" ht="15" hidden="false" customHeight="true" outlineLevel="0" collapsed="false">
      <c r="A2" s="75" t="s">
        <v>169</v>
      </c>
    </row>
    <row r="3" customFormat="false" ht="15" hidden="false" customHeight="true" outlineLevel="0" collapsed="false">
      <c r="A3" s="51" t="s">
        <v>170</v>
      </c>
      <c r="B3" s="50"/>
      <c r="C3" s="50"/>
      <c r="D3" s="50"/>
      <c r="E3" s="50"/>
      <c r="F3" s="50"/>
      <c r="G3" s="50"/>
      <c r="H3" s="50"/>
    </row>
    <row r="4" customFormat="false" ht="15" hidden="false" customHeight="true" outlineLevel="0" collapsed="false">
      <c r="A4" s="51" t="s">
        <v>158</v>
      </c>
      <c r="B4" s="52" t="s">
        <v>171</v>
      </c>
      <c r="C4" s="52" t="s">
        <v>172</v>
      </c>
      <c r="D4" s="52" t="s">
        <v>173</v>
      </c>
      <c r="E4" s="52" t="s">
        <v>161</v>
      </c>
      <c r="F4" s="52" t="s">
        <v>174</v>
      </c>
      <c r="G4" s="52" t="s">
        <v>175</v>
      </c>
      <c r="H4" s="52" t="s">
        <v>176</v>
      </c>
    </row>
    <row r="5" customFormat="false" ht="15" hidden="false" customHeight="true" outlineLevel="0" collapsed="false">
      <c r="A5" s="11" t="str">
        <f aca="false">Assumptions!$B$60</f>
        <v>Chalet</v>
      </c>
      <c r="B5" s="76" t="n">
        <f aca="false">D5/Assumptions!$D$60</f>
        <v>945.3125</v>
      </c>
      <c r="C5" s="76" t="n">
        <f aca="false">Assumptions!$D$60</f>
        <v>120</v>
      </c>
      <c r="D5" s="76" t="n">
        <f aca="false">Assumptions!$C$40*1000000*Assumptions!$D$40*(1-Assumptions!$L$40)*Assumptions!$C$60</f>
        <v>113437.5</v>
      </c>
      <c r="E5" s="76" t="n">
        <f aca="false">Assumptions!$E$60</f>
        <v>130000</v>
      </c>
      <c r="F5" s="19" t="n">
        <f aca="false">D5*E5/1000000000</f>
        <v>14.746875</v>
      </c>
      <c r="G5" s="76" t="n">
        <f aca="false">Assumptions!$F$60</f>
        <v>38000</v>
      </c>
      <c r="H5" s="19" t="n">
        <f aca="false">D5*G5/1000000000</f>
        <v>4.310625</v>
      </c>
    </row>
    <row r="6" customFormat="false" ht="15" hidden="false" customHeight="true" outlineLevel="0" collapsed="false">
      <c r="A6" s="11" t="str">
        <f aca="false">Assumptions!$B$61</f>
        <v>Townhouse</v>
      </c>
      <c r="B6" s="76" t="n">
        <f aca="false">D6/Assumptions!$D$61</f>
        <v>271.381578947368</v>
      </c>
      <c r="C6" s="76" t="n">
        <f aca="false">Assumptions!$D$61</f>
        <v>190</v>
      </c>
      <c r="D6" s="76" t="n">
        <f aca="false">Assumptions!$C$40*1000000*Assumptions!$D$40*(1-Assumptions!$L$40)*Assumptions!$C$61</f>
        <v>51562.5</v>
      </c>
      <c r="E6" s="76" t="n">
        <f aca="false">Assumptions!$E$61</f>
        <v>155000</v>
      </c>
      <c r="F6" s="19" t="n">
        <f aca="false">D6*E6/1000000000</f>
        <v>7.9921875</v>
      </c>
      <c r="G6" s="76" t="n">
        <f aca="false">Assumptions!$F$61</f>
        <v>45000</v>
      </c>
      <c r="H6" s="19" t="n">
        <f aca="false">D6*G6/1000000000</f>
        <v>2.3203125</v>
      </c>
    </row>
    <row r="7" customFormat="false" ht="15" hidden="false" customHeight="true" outlineLevel="0" collapsed="false">
      <c r="A7" s="11" t="str">
        <f aca="false">Assumptions!$B$62</f>
        <v>Villa</v>
      </c>
      <c r="B7" s="76" t="n">
        <f aca="false">D7/Assumptions!$D$62</f>
        <v>125</v>
      </c>
      <c r="C7" s="76" t="n">
        <f aca="false">Assumptions!$D$62</f>
        <v>330</v>
      </c>
      <c r="D7" s="76" t="n">
        <f aca="false">Assumptions!$C$40*1000000*Assumptions!$D$40*(1-Assumptions!$L$40)*Assumptions!$C$62</f>
        <v>41250</v>
      </c>
      <c r="E7" s="76" t="n">
        <f aca="false">Assumptions!$E$62</f>
        <v>200000</v>
      </c>
      <c r="F7" s="19" t="n">
        <f aca="false">D7*E7/1000000000</f>
        <v>8.25</v>
      </c>
      <c r="G7" s="76" t="n">
        <f aca="false">Assumptions!$F$62</f>
        <v>58000</v>
      </c>
      <c r="H7" s="19" t="n">
        <f aca="false">D7*G7/1000000000</f>
        <v>2.3925</v>
      </c>
    </row>
    <row r="8" customFormat="false" ht="15" hidden="false" customHeight="true" outlineLevel="0" collapsed="false">
      <c r="A8" s="77" t="s">
        <v>177</v>
      </c>
      <c r="B8" s="78" t="n">
        <f aca="false">SUM(B5:B7)</f>
        <v>1341.69407894737</v>
      </c>
      <c r="D8" s="78" t="n">
        <f aca="false">SUM(D5:D7)</f>
        <v>206250</v>
      </c>
      <c r="F8" s="79" t="n">
        <f aca="false">SUM(F5:F7)</f>
        <v>30.9890625</v>
      </c>
      <c r="H8" s="79" t="n">
        <f aca="false">SUM(H5:H7)</f>
        <v>9.0234375</v>
      </c>
    </row>
    <row r="9" customFormat="false" ht="15" hidden="false" customHeight="true" outlineLevel="0" collapsed="false">
      <c r="A9" s="11" t="s">
        <v>178</v>
      </c>
      <c r="D9" s="76" t="n">
        <f aca="false">Assumptions!$C$40*1000000*(1-Assumptions!$L$40)</f>
        <v>1875000</v>
      </c>
      <c r="E9" s="76" t="n">
        <f aca="false">Assumptions!$E$40</f>
        <v>5000</v>
      </c>
      <c r="F9" s="19" t="n">
        <f aca="false">D9*E9/1000000000</f>
        <v>9.375</v>
      </c>
    </row>
    <row r="10" customFormat="false" ht="15" hidden="false" customHeight="true" outlineLevel="0" collapsed="false">
      <c r="A10" s="11" t="s">
        <v>179</v>
      </c>
      <c r="B10" s="80" t="n">
        <f aca="false">Assumptions!$G$40</f>
        <v>1</v>
      </c>
    </row>
    <row r="11" customFormat="false" ht="15" hidden="false" customHeight="true" outlineLevel="0" collapsed="false">
      <c r="A11" s="77" t="s">
        <v>180</v>
      </c>
      <c r="F11" s="79" t="n">
        <f aca="false">F8*B10</f>
        <v>30.9890625</v>
      </c>
      <c r="G11" s="11" t="s">
        <v>181</v>
      </c>
      <c r="H11" s="79" t="n">
        <f aca="false">H8*B10</f>
        <v>9.0234375</v>
      </c>
    </row>
    <row r="12" customFormat="false" ht="15" hidden="false" customHeight="true" outlineLevel="0" collapsed="false">
      <c r="A12" s="11" t="s">
        <v>182</v>
      </c>
      <c r="F12" s="19" t="n">
        <f aca="false">F9*B10</f>
        <v>9.375</v>
      </c>
    </row>
    <row r="13" customFormat="false" ht="15" hidden="false" customHeight="true" outlineLevel="0" collapsed="false">
      <c r="A13" s="77" t="s">
        <v>183</v>
      </c>
      <c r="F13" s="79" t="n">
        <f aca="false">F11-H11-F12</f>
        <v>12.590625</v>
      </c>
      <c r="G13" s="11" t="s">
        <v>184</v>
      </c>
      <c r="H13" s="15" t="n">
        <f aca="false">IF(F11=0,0,(F11-H11-F12)/F11)</f>
        <v>0.406292542731811</v>
      </c>
    </row>
    <row r="15" customFormat="false" ht="15" hidden="false" customHeight="true" outlineLevel="0" collapsed="false">
      <c r="A15" s="51" t="s">
        <v>185</v>
      </c>
      <c r="B15" s="50"/>
      <c r="C15" s="50"/>
      <c r="D15" s="50"/>
      <c r="E15" s="50"/>
      <c r="F15" s="50"/>
      <c r="G15" s="50"/>
      <c r="H15" s="50"/>
    </row>
    <row r="16" customFormat="false" ht="15" hidden="false" customHeight="true" outlineLevel="0" collapsed="false">
      <c r="A16" s="51" t="s">
        <v>158</v>
      </c>
      <c r="B16" s="52" t="s">
        <v>171</v>
      </c>
      <c r="C16" s="52" t="s">
        <v>172</v>
      </c>
      <c r="D16" s="52" t="s">
        <v>173</v>
      </c>
      <c r="E16" s="52" t="s">
        <v>161</v>
      </c>
      <c r="F16" s="52" t="s">
        <v>174</v>
      </c>
      <c r="G16" s="52" t="s">
        <v>175</v>
      </c>
      <c r="H16" s="52" t="s">
        <v>176</v>
      </c>
    </row>
    <row r="17" customFormat="false" ht="15" hidden="false" customHeight="true" outlineLevel="0" collapsed="false">
      <c r="A17" s="11" t="str">
        <f aca="false">Assumptions!$B$63</f>
        <v>Apartment</v>
      </c>
      <c r="B17" s="76" t="n">
        <f aca="false">D17/Assumptions!$D$63</f>
        <v>394.666666666667</v>
      </c>
      <c r="C17" s="76" t="n">
        <f aca="false">Assumptions!$D$63</f>
        <v>150</v>
      </c>
      <c r="D17" s="76" t="n">
        <f aca="false">Assumptions!$C$41*1000000*Assumptions!$D$41*(1-Assumptions!$L$41)*Assumptions!$C$63</f>
        <v>59200</v>
      </c>
      <c r="E17" s="76" t="n">
        <f aca="false">Assumptions!$E$63</f>
        <v>95000</v>
      </c>
      <c r="F17" s="19" t="n">
        <f aca="false">D17*E17/1000000000</f>
        <v>5.624</v>
      </c>
      <c r="G17" s="76" t="n">
        <f aca="false">Assumptions!$F$63</f>
        <v>30000</v>
      </c>
      <c r="H17" s="19" t="n">
        <f aca="false">D17*G17/1000000000</f>
        <v>1.776</v>
      </c>
    </row>
    <row r="18" customFormat="false" ht="15" hidden="false" customHeight="true" outlineLevel="0" collapsed="false">
      <c r="A18" s="11" t="str">
        <f aca="false">Assumptions!$B$64</f>
        <v>Townhouse/Twin</v>
      </c>
      <c r="B18" s="76" t="n">
        <f aca="false">D18/Assumptions!$D$64</f>
        <v>154.434782608696</v>
      </c>
      <c r="C18" s="76" t="n">
        <f aca="false">Assumptions!$D$64</f>
        <v>230</v>
      </c>
      <c r="D18" s="76" t="n">
        <f aca="false">Assumptions!$C$41*1000000*Assumptions!$D$41*(1-Assumptions!$L$41)*Assumptions!$C$64</f>
        <v>35520</v>
      </c>
      <c r="E18" s="76" t="n">
        <f aca="false">Assumptions!$E$64</f>
        <v>120000</v>
      </c>
      <c r="F18" s="19" t="n">
        <f aca="false">D18*E18/1000000000</f>
        <v>4.2624</v>
      </c>
      <c r="G18" s="76" t="n">
        <f aca="false">Assumptions!$F$64</f>
        <v>36000</v>
      </c>
      <c r="H18" s="19" t="n">
        <f aca="false">D18*G18/1000000000</f>
        <v>1.27872</v>
      </c>
    </row>
    <row r="19" customFormat="false" ht="15" hidden="false" customHeight="true" outlineLevel="0" collapsed="false">
      <c r="A19" s="11" t="str">
        <f aca="false">Assumptions!$B$65</f>
        <v>Villa</v>
      </c>
      <c r="B19" s="76" t="n">
        <f aca="false">D19/Assumptions!$D$65</f>
        <v>67.6571428571428</v>
      </c>
      <c r="C19" s="76" t="n">
        <f aca="false">Assumptions!$D$65</f>
        <v>350</v>
      </c>
      <c r="D19" s="76" t="n">
        <f aca="false">Assumptions!$C$41*1000000*Assumptions!$D$41*(1-Assumptions!$L$41)*Assumptions!$C$65</f>
        <v>23680</v>
      </c>
      <c r="E19" s="76" t="n">
        <f aca="false">Assumptions!$E$65</f>
        <v>155000</v>
      </c>
      <c r="F19" s="19" t="n">
        <f aca="false">D19*E19/1000000000</f>
        <v>3.6704</v>
      </c>
      <c r="G19" s="76" t="n">
        <f aca="false">Assumptions!$F$65</f>
        <v>46000</v>
      </c>
      <c r="H19" s="19" t="n">
        <f aca="false">D19*G19/1000000000</f>
        <v>1.08928</v>
      </c>
    </row>
    <row r="20" customFormat="false" ht="15" hidden="false" customHeight="true" outlineLevel="0" collapsed="false">
      <c r="A20" s="77" t="s">
        <v>177</v>
      </c>
      <c r="B20" s="78" t="n">
        <f aca="false">SUM(B17:B19)</f>
        <v>616.758592132505</v>
      </c>
      <c r="D20" s="78" t="n">
        <f aca="false">SUM(D17:D19)</f>
        <v>118400</v>
      </c>
      <c r="F20" s="79" t="n">
        <f aca="false">SUM(F17:F19)</f>
        <v>13.5568</v>
      </c>
      <c r="H20" s="79" t="n">
        <f aca="false">SUM(H17:H19)</f>
        <v>4.144</v>
      </c>
    </row>
    <row r="21" customFormat="false" ht="15" hidden="false" customHeight="true" outlineLevel="0" collapsed="false">
      <c r="A21" s="11" t="s">
        <v>178</v>
      </c>
      <c r="D21" s="76" t="n">
        <f aca="false">Assumptions!$C$41*1000000*(1-Assumptions!$L$41)</f>
        <v>740000</v>
      </c>
      <c r="E21" s="76" t="n">
        <f aca="false">Assumptions!$E$41</f>
        <v>6000</v>
      </c>
      <c r="F21" s="19" t="n">
        <f aca="false">D21*E21/1000000000</f>
        <v>4.44</v>
      </c>
    </row>
    <row r="22" customFormat="false" ht="15" hidden="false" customHeight="true" outlineLevel="0" collapsed="false">
      <c r="A22" s="11" t="s">
        <v>179</v>
      </c>
      <c r="B22" s="80" t="n">
        <f aca="false">Assumptions!$G$41</f>
        <v>1</v>
      </c>
    </row>
    <row r="23" customFormat="false" ht="15" hidden="false" customHeight="true" outlineLevel="0" collapsed="false">
      <c r="A23" s="77" t="s">
        <v>180</v>
      </c>
      <c r="F23" s="79" t="n">
        <f aca="false">F20*B22</f>
        <v>13.5568</v>
      </c>
      <c r="G23" s="11" t="s">
        <v>181</v>
      </c>
      <c r="H23" s="79" t="n">
        <f aca="false">H20*B22</f>
        <v>4.144</v>
      </c>
    </row>
    <row r="24" customFormat="false" ht="15" hidden="false" customHeight="true" outlineLevel="0" collapsed="false">
      <c r="A24" s="11" t="s">
        <v>182</v>
      </c>
      <c r="F24" s="19" t="n">
        <f aca="false">F21*B22</f>
        <v>4.44</v>
      </c>
    </row>
    <row r="25" customFormat="false" ht="15" hidden="false" customHeight="true" outlineLevel="0" collapsed="false">
      <c r="A25" s="77" t="s">
        <v>183</v>
      </c>
      <c r="F25" s="79" t="n">
        <f aca="false">F23-H23-F24</f>
        <v>4.9728</v>
      </c>
      <c r="G25" s="11" t="s">
        <v>184</v>
      </c>
      <c r="H25" s="15" t="n">
        <f aca="false">IF(F23=0,0,(F23-H23-F24)/F23)</f>
        <v>0.366812227074236</v>
      </c>
    </row>
    <row r="27" customFormat="false" ht="15" hidden="false" customHeight="true" outlineLevel="0" collapsed="false">
      <c r="A27" s="51" t="s">
        <v>186</v>
      </c>
      <c r="B27" s="50"/>
      <c r="C27" s="50"/>
      <c r="D27" s="50"/>
      <c r="E27" s="50"/>
      <c r="F27" s="50"/>
      <c r="G27" s="50"/>
      <c r="H27" s="50"/>
    </row>
    <row r="28" customFormat="false" ht="15" hidden="false" customHeight="true" outlineLevel="0" collapsed="false">
      <c r="A28" s="51" t="s">
        <v>158</v>
      </c>
      <c r="B28" s="52" t="s">
        <v>171</v>
      </c>
      <c r="C28" s="52" t="s">
        <v>172</v>
      </c>
      <c r="D28" s="52" t="s">
        <v>173</v>
      </c>
      <c r="E28" s="52" t="s">
        <v>161</v>
      </c>
      <c r="F28" s="52" t="s">
        <v>174</v>
      </c>
      <c r="G28" s="52" t="s">
        <v>175</v>
      </c>
      <c r="H28" s="52" t="s">
        <v>176</v>
      </c>
    </row>
    <row r="29" customFormat="false" ht="15" hidden="false" customHeight="true" outlineLevel="0" collapsed="false">
      <c r="A29" s="11" t="str">
        <f aca="false">Assumptions!$B$66</f>
        <v>Apartment</v>
      </c>
      <c r="B29" s="76" t="n">
        <f aca="false">D29/Assumptions!$D$66</f>
        <v>1029</v>
      </c>
      <c r="C29" s="76" t="n">
        <f aca="false">Assumptions!$D$66</f>
        <v>150</v>
      </c>
      <c r="D29" s="76" t="n">
        <f aca="false">Assumptions!$C$42*1000000*Assumptions!$D$42*(1-Assumptions!$L$42)*Assumptions!$C$66</f>
        <v>154350</v>
      </c>
      <c r="E29" s="76" t="n">
        <f aca="false">Assumptions!$E$66</f>
        <v>100000</v>
      </c>
      <c r="F29" s="19" t="n">
        <f aca="false">D29*E29/1000000000</f>
        <v>15.435</v>
      </c>
      <c r="G29" s="76" t="n">
        <f aca="false">Assumptions!$F$66</f>
        <v>32000</v>
      </c>
      <c r="H29" s="19" t="n">
        <f aca="false">D29*G29/1000000000</f>
        <v>4.9392</v>
      </c>
    </row>
    <row r="30" customFormat="false" ht="15" hidden="false" customHeight="true" outlineLevel="0" collapsed="false">
      <c r="A30" s="11" t="str">
        <f aca="false">Assumptions!$B$67</f>
        <v>Townhouse/Twin</v>
      </c>
      <c r="B30" s="76" t="n">
        <f aca="false">D30/Assumptions!$D$67</f>
        <v>411.6</v>
      </c>
      <c r="C30" s="76" t="n">
        <f aca="false">Assumptions!$D$67</f>
        <v>225</v>
      </c>
      <c r="D30" s="76" t="n">
        <f aca="false">Assumptions!$C$42*1000000*Assumptions!$D$42*(1-Assumptions!$L$42)*Assumptions!$C$67</f>
        <v>92610</v>
      </c>
      <c r="E30" s="76" t="n">
        <f aca="false">Assumptions!$E$67</f>
        <v>125000</v>
      </c>
      <c r="F30" s="19" t="n">
        <f aca="false">D30*E30/1000000000</f>
        <v>11.57625</v>
      </c>
      <c r="G30" s="76" t="n">
        <f aca="false">Assumptions!$F$67</f>
        <v>38000</v>
      </c>
      <c r="H30" s="19" t="n">
        <f aca="false">D30*G30/1000000000</f>
        <v>3.51918</v>
      </c>
    </row>
    <row r="31" customFormat="false" ht="15" hidden="false" customHeight="true" outlineLevel="0" collapsed="false">
      <c r="A31" s="11" t="str">
        <f aca="false">Assumptions!$B$68</f>
        <v>Villa</v>
      </c>
      <c r="B31" s="76" t="n">
        <f aca="false">D31/Assumptions!$D$68</f>
        <v>178.95652173913</v>
      </c>
      <c r="C31" s="76" t="n">
        <f aca="false">Assumptions!$D$68</f>
        <v>345</v>
      </c>
      <c r="D31" s="76" t="n">
        <f aca="false">Assumptions!$C$42*1000000*Assumptions!$D$42*(1-Assumptions!$L$42)*Assumptions!$C$68</f>
        <v>61740</v>
      </c>
      <c r="E31" s="76" t="n">
        <f aca="false">Assumptions!$E$68</f>
        <v>165000</v>
      </c>
      <c r="F31" s="19" t="n">
        <f aca="false">D31*E31/1000000000</f>
        <v>10.1871</v>
      </c>
      <c r="G31" s="76" t="n">
        <f aca="false">Assumptions!$F$68</f>
        <v>48000</v>
      </c>
      <c r="H31" s="19" t="n">
        <f aca="false">D31*G31/1000000000</f>
        <v>2.96352</v>
      </c>
    </row>
    <row r="32" customFormat="false" ht="15" hidden="false" customHeight="true" outlineLevel="0" collapsed="false">
      <c r="A32" s="77" t="s">
        <v>177</v>
      </c>
      <c r="B32" s="78" t="n">
        <f aca="false">SUM(B29:B31)</f>
        <v>1619.55652173913</v>
      </c>
      <c r="D32" s="78" t="n">
        <f aca="false">SUM(D29:D31)</f>
        <v>308700</v>
      </c>
      <c r="F32" s="79" t="n">
        <f aca="false">SUM(F29:F31)</f>
        <v>37.19835</v>
      </c>
      <c r="H32" s="79" t="n">
        <f aca="false">SUM(H29:H31)</f>
        <v>11.4219</v>
      </c>
    </row>
    <row r="33" customFormat="false" ht="15" hidden="false" customHeight="true" outlineLevel="0" collapsed="false">
      <c r="A33" s="11" t="s">
        <v>178</v>
      </c>
      <c r="D33" s="76" t="n">
        <f aca="false">Assumptions!$C$42*1000000*(1-Assumptions!$L$42)</f>
        <v>2205000</v>
      </c>
      <c r="E33" s="76" t="n">
        <f aca="false">Assumptions!$E$42</f>
        <v>7000</v>
      </c>
      <c r="F33" s="19" t="n">
        <f aca="false">D33*E33/1000000000</f>
        <v>15.435</v>
      </c>
    </row>
    <row r="34" customFormat="false" ht="15" hidden="false" customHeight="true" outlineLevel="0" collapsed="false">
      <c r="A34" s="11" t="s">
        <v>179</v>
      </c>
      <c r="B34" s="80" t="n">
        <f aca="false">Assumptions!$G$42</f>
        <v>1</v>
      </c>
    </row>
    <row r="35" customFormat="false" ht="15" hidden="false" customHeight="true" outlineLevel="0" collapsed="false">
      <c r="A35" s="77" t="s">
        <v>180</v>
      </c>
      <c r="F35" s="79" t="n">
        <f aca="false">F32*B34</f>
        <v>37.19835</v>
      </c>
      <c r="G35" s="11" t="s">
        <v>181</v>
      </c>
      <c r="H35" s="79" t="n">
        <f aca="false">H32*B34</f>
        <v>11.4219</v>
      </c>
    </row>
    <row r="36" customFormat="false" ht="15" hidden="false" customHeight="true" outlineLevel="0" collapsed="false">
      <c r="A36" s="11" t="s">
        <v>182</v>
      </c>
      <c r="F36" s="19" t="n">
        <f aca="false">F33*B34</f>
        <v>15.435</v>
      </c>
    </row>
    <row r="37" customFormat="false" ht="15" hidden="false" customHeight="true" outlineLevel="0" collapsed="false">
      <c r="A37" s="77" t="s">
        <v>183</v>
      </c>
      <c r="F37" s="79" t="n">
        <f aca="false">F35-H35-F36</f>
        <v>10.34145</v>
      </c>
      <c r="G37" s="11" t="s">
        <v>184</v>
      </c>
      <c r="H37" s="15" t="n">
        <f aca="false">IF(F35=0,0,(F35-H35-F36)/F35)</f>
        <v>0.278008298755187</v>
      </c>
    </row>
    <row r="39" customFormat="false" ht="15" hidden="false" customHeight="true" outlineLevel="0" collapsed="false">
      <c r="A39" s="51" t="s">
        <v>187</v>
      </c>
      <c r="B39" s="50"/>
      <c r="C39" s="50"/>
      <c r="D39" s="50"/>
      <c r="E39" s="50"/>
      <c r="F39" s="50"/>
      <c r="G39" s="50"/>
      <c r="H39" s="50"/>
    </row>
    <row r="40" customFormat="false" ht="15" hidden="false" customHeight="true" outlineLevel="0" collapsed="false">
      <c r="A40" s="51" t="s">
        <v>158</v>
      </c>
      <c r="B40" s="52" t="s">
        <v>171</v>
      </c>
      <c r="C40" s="52" t="s">
        <v>172</v>
      </c>
      <c r="D40" s="52" t="s">
        <v>173</v>
      </c>
      <c r="E40" s="52" t="s">
        <v>161</v>
      </c>
      <c r="F40" s="52" t="s">
        <v>174</v>
      </c>
      <c r="G40" s="52" t="s">
        <v>175</v>
      </c>
      <c r="H40" s="52" t="s">
        <v>176</v>
      </c>
    </row>
    <row r="41" customFormat="false" ht="15" hidden="false" customHeight="true" outlineLevel="0" collapsed="false">
      <c r="A41" s="11" t="str">
        <f aca="false">Assumptions!$B$69</f>
        <v>Apartment</v>
      </c>
      <c r="B41" s="76" t="n">
        <f aca="false">D41/Assumptions!$D$69</f>
        <v>270</v>
      </c>
      <c r="C41" s="76" t="n">
        <f aca="false">Assumptions!$D$69</f>
        <v>150</v>
      </c>
      <c r="D41" s="76" t="n">
        <f aca="false">Assumptions!$C$43*1000000*Assumptions!$D$43*(1-Assumptions!$L$43)*Assumptions!$C$69</f>
        <v>40500</v>
      </c>
      <c r="E41" s="76" t="n">
        <f aca="false">Assumptions!$E$69</f>
        <v>115000</v>
      </c>
      <c r="F41" s="19" t="n">
        <f aca="false">D41*E41/1000000000</f>
        <v>4.6575</v>
      </c>
      <c r="G41" s="76" t="n">
        <f aca="false">Assumptions!$F$69</f>
        <v>36000</v>
      </c>
      <c r="H41" s="19" t="n">
        <f aca="false">D41*G41/1000000000</f>
        <v>1.458</v>
      </c>
    </row>
    <row r="42" customFormat="false" ht="15" hidden="false" customHeight="true" outlineLevel="0" collapsed="false">
      <c r="A42" s="11" t="str">
        <f aca="false">Assumptions!$B$70</f>
        <v>Townhouse/Twin</v>
      </c>
      <c r="B42" s="76" t="n">
        <f aca="false">D42/Assumptions!$D$70</f>
        <v>122.727272727273</v>
      </c>
      <c r="C42" s="76" t="n">
        <f aca="false">Assumptions!$D$70</f>
        <v>220</v>
      </c>
      <c r="D42" s="76" t="n">
        <f aca="false">Assumptions!$C$43*1000000*Assumptions!$D$43*(1-Assumptions!$L$43)*Assumptions!$C$70</f>
        <v>27000</v>
      </c>
      <c r="E42" s="76" t="n">
        <f aca="false">Assumptions!$E$70</f>
        <v>140000</v>
      </c>
      <c r="F42" s="19" t="n">
        <f aca="false">D42*E42/1000000000</f>
        <v>3.78</v>
      </c>
      <c r="G42" s="76" t="n">
        <f aca="false">Assumptions!$F$70</f>
        <v>42000</v>
      </c>
      <c r="H42" s="19" t="n">
        <f aca="false">D42*G42/1000000000</f>
        <v>1.134</v>
      </c>
    </row>
    <row r="43" customFormat="false" ht="15" hidden="false" customHeight="true" outlineLevel="0" collapsed="false">
      <c r="A43" s="11" t="str">
        <f aca="false">Assumptions!$B$71</f>
        <v>Villa</v>
      </c>
      <c r="B43" s="76" t="n">
        <f aca="false">D43/Assumptions!$D$71</f>
        <v>66.1764705882353</v>
      </c>
      <c r="C43" s="76" t="n">
        <f aca="false">Assumptions!$D$71</f>
        <v>340</v>
      </c>
      <c r="D43" s="76" t="n">
        <f aca="false">Assumptions!$C$43*1000000*Assumptions!$D$43*(1-Assumptions!$L$43)*Assumptions!$C$71</f>
        <v>22500</v>
      </c>
      <c r="E43" s="76" t="n">
        <f aca="false">Assumptions!$E$71</f>
        <v>180000</v>
      </c>
      <c r="F43" s="19" t="n">
        <f aca="false">D43*E43/1000000000</f>
        <v>4.05</v>
      </c>
      <c r="G43" s="76" t="n">
        <f aca="false">Assumptions!$F$71</f>
        <v>50000</v>
      </c>
      <c r="H43" s="19" t="n">
        <f aca="false">D43*G43/1000000000</f>
        <v>1.125</v>
      </c>
    </row>
    <row r="44" customFormat="false" ht="15" hidden="false" customHeight="true" outlineLevel="0" collapsed="false">
      <c r="A44" s="77" t="s">
        <v>177</v>
      </c>
      <c r="B44" s="78" t="n">
        <f aca="false">SUM(B41:B43)</f>
        <v>458.903743315508</v>
      </c>
      <c r="D44" s="78" t="n">
        <f aca="false">SUM(D41:D43)</f>
        <v>90000</v>
      </c>
      <c r="F44" s="79" t="n">
        <f aca="false">SUM(F41:F43)</f>
        <v>12.4875</v>
      </c>
      <c r="H44" s="79" t="n">
        <f aca="false">SUM(H41:H43)</f>
        <v>3.717</v>
      </c>
    </row>
    <row r="45" customFormat="false" ht="15" hidden="false" customHeight="true" outlineLevel="0" collapsed="false">
      <c r="A45" s="11" t="s">
        <v>178</v>
      </c>
      <c r="D45" s="76" t="n">
        <f aca="false">Assumptions!$C$43*1000000*(1-Assumptions!$L$43)</f>
        <v>500000</v>
      </c>
      <c r="E45" s="76" t="n">
        <f aca="false">Assumptions!$E$43</f>
        <v>9000</v>
      </c>
      <c r="F45" s="19" t="n">
        <f aca="false">D45*E45/1000000000</f>
        <v>4.5</v>
      </c>
    </row>
    <row r="46" customFormat="false" ht="15" hidden="false" customHeight="true" outlineLevel="0" collapsed="false">
      <c r="A46" s="11" t="s">
        <v>179</v>
      </c>
      <c r="B46" s="80" t="n">
        <f aca="false">Assumptions!$G$43</f>
        <v>1</v>
      </c>
    </row>
    <row r="47" customFormat="false" ht="15" hidden="false" customHeight="true" outlineLevel="0" collapsed="false">
      <c r="A47" s="77" t="s">
        <v>180</v>
      </c>
      <c r="F47" s="79" t="n">
        <f aca="false">F44*B46</f>
        <v>12.4875</v>
      </c>
      <c r="G47" s="11" t="s">
        <v>181</v>
      </c>
      <c r="H47" s="79" t="n">
        <f aca="false">H44*B46</f>
        <v>3.717</v>
      </c>
    </row>
    <row r="48" customFormat="false" ht="15" hidden="false" customHeight="true" outlineLevel="0" collapsed="false">
      <c r="A48" s="11" t="s">
        <v>182</v>
      </c>
      <c r="F48" s="19" t="n">
        <f aca="false">F45*B46</f>
        <v>4.5</v>
      </c>
    </row>
    <row r="49" customFormat="false" ht="15" hidden="false" customHeight="true" outlineLevel="0" collapsed="false">
      <c r="A49" s="77" t="s">
        <v>183</v>
      </c>
      <c r="F49" s="79" t="n">
        <f aca="false">F47-H47-F48</f>
        <v>4.2705</v>
      </c>
      <c r="G49" s="11" t="s">
        <v>184</v>
      </c>
      <c r="H49" s="15" t="n">
        <f aca="false">IF(F47=0,0,(F47-H47-F48)/F47)</f>
        <v>0.341981981981982</v>
      </c>
    </row>
    <row r="51" customFormat="false" ht="15" hidden="false" customHeight="true" outlineLevel="0" collapsed="false">
      <c r="A51" s="51" t="s">
        <v>188</v>
      </c>
      <c r="B51" s="50"/>
      <c r="C51" s="50"/>
      <c r="D51" s="50"/>
      <c r="E51" s="50"/>
      <c r="F51" s="50"/>
      <c r="G51" s="50"/>
      <c r="H51" s="50"/>
    </row>
    <row r="52" customFormat="false" ht="15" hidden="false" customHeight="true" outlineLevel="0" collapsed="false">
      <c r="A52" s="51" t="s">
        <v>158</v>
      </c>
      <c r="B52" s="52" t="s">
        <v>171</v>
      </c>
      <c r="C52" s="52" t="s">
        <v>172</v>
      </c>
      <c r="D52" s="52" t="s">
        <v>173</v>
      </c>
      <c r="E52" s="52" t="s">
        <v>161</v>
      </c>
      <c r="F52" s="52" t="s">
        <v>174</v>
      </c>
      <c r="G52" s="52" t="s">
        <v>175</v>
      </c>
      <c r="H52" s="52" t="s">
        <v>176</v>
      </c>
    </row>
    <row r="53" customFormat="false" ht="15" hidden="false" customHeight="true" outlineLevel="0" collapsed="false">
      <c r="A53" s="11" t="str">
        <f aca="false">Assumptions!$B$72</f>
        <v>Apartment</v>
      </c>
      <c r="B53" s="76" t="n">
        <f aca="false">D53/Assumptions!$D$72</f>
        <v>672</v>
      </c>
      <c r="C53" s="76" t="n">
        <f aca="false">Assumptions!$D$72</f>
        <v>150</v>
      </c>
      <c r="D53" s="76" t="n">
        <f aca="false">Assumptions!$C$44*1000000*Assumptions!$D$44*(1-Assumptions!$L$44)*Assumptions!$C$72</f>
        <v>100800</v>
      </c>
      <c r="E53" s="76" t="n">
        <f aca="false">Assumptions!$E$72</f>
        <v>110000</v>
      </c>
      <c r="F53" s="19" t="n">
        <f aca="false">D53*E53/1000000000</f>
        <v>11.088</v>
      </c>
      <c r="G53" s="76" t="n">
        <f aca="false">Assumptions!$F$72</f>
        <v>35000</v>
      </c>
      <c r="H53" s="19" t="n">
        <f aca="false">D53*G53/1000000000</f>
        <v>3.528</v>
      </c>
    </row>
    <row r="54" customFormat="false" ht="15" hidden="false" customHeight="true" outlineLevel="0" collapsed="false">
      <c r="A54" s="11" t="str">
        <f aca="false">Assumptions!$B$73</f>
        <v>Townhouse/Twin</v>
      </c>
      <c r="B54" s="76" t="n">
        <f aca="false">D54/Assumptions!$D$73</f>
        <v>336</v>
      </c>
      <c r="C54" s="76" t="n">
        <f aca="false">Assumptions!$D$73</f>
        <v>225</v>
      </c>
      <c r="D54" s="76" t="n">
        <f aca="false">Assumptions!$C$44*1000000*Assumptions!$D$44*(1-Assumptions!$L$44)*Assumptions!$C$73</f>
        <v>75600</v>
      </c>
      <c r="E54" s="76" t="n">
        <f aca="false">Assumptions!$E$73</f>
        <v>135000</v>
      </c>
      <c r="F54" s="19" t="n">
        <f aca="false">D54*E54/1000000000</f>
        <v>10.206</v>
      </c>
      <c r="G54" s="76" t="n">
        <f aca="false">Assumptions!$F$73</f>
        <v>41000</v>
      </c>
      <c r="H54" s="19" t="n">
        <f aca="false">D54*G54/1000000000</f>
        <v>3.0996</v>
      </c>
    </row>
    <row r="55" customFormat="false" ht="15" hidden="false" customHeight="true" outlineLevel="0" collapsed="false">
      <c r="A55" s="11" t="str">
        <f aca="false">Assumptions!$B$74</f>
        <v>Villa</v>
      </c>
      <c r="B55" s="76" t="n">
        <f aca="false">D55/Assumptions!$D$74</f>
        <v>216</v>
      </c>
      <c r="C55" s="76" t="n">
        <f aca="false">Assumptions!$D$74</f>
        <v>350</v>
      </c>
      <c r="D55" s="76" t="n">
        <f aca="false">Assumptions!$C$44*1000000*Assumptions!$D$44*(1-Assumptions!$L$44)*Assumptions!$C$74</f>
        <v>75600</v>
      </c>
      <c r="E55" s="76" t="n">
        <f aca="false">Assumptions!$E$74</f>
        <v>175000</v>
      </c>
      <c r="F55" s="19" t="n">
        <f aca="false">D55*E55/1000000000</f>
        <v>13.23</v>
      </c>
      <c r="G55" s="76" t="n">
        <f aca="false">Assumptions!$F$74</f>
        <v>49000</v>
      </c>
      <c r="H55" s="19" t="n">
        <f aca="false">D55*G55/1000000000</f>
        <v>3.7044</v>
      </c>
    </row>
    <row r="56" customFormat="false" ht="15" hidden="false" customHeight="true" outlineLevel="0" collapsed="false">
      <c r="A56" s="77" t="s">
        <v>177</v>
      </c>
      <c r="B56" s="78" t="n">
        <f aca="false">SUM(B53:B55)</f>
        <v>1224</v>
      </c>
      <c r="D56" s="78" t="n">
        <f aca="false">SUM(D53:D55)</f>
        <v>252000</v>
      </c>
      <c r="F56" s="79" t="n">
        <f aca="false">SUM(F53:F55)</f>
        <v>34.524</v>
      </c>
      <c r="H56" s="79" t="n">
        <f aca="false">SUM(H53:H55)</f>
        <v>10.332</v>
      </c>
    </row>
    <row r="57" customFormat="false" ht="15" hidden="false" customHeight="true" outlineLevel="0" collapsed="false">
      <c r="A57" s="11" t="s">
        <v>178</v>
      </c>
      <c r="D57" s="76" t="n">
        <f aca="false">Assumptions!$C$44*1000000*(1-Assumptions!$L$44)</f>
        <v>1575000</v>
      </c>
      <c r="E57" s="76" t="n">
        <f aca="false">Assumptions!$E$44</f>
        <v>8000</v>
      </c>
      <c r="F57" s="19" t="n">
        <f aca="false">D57*E57/1000000000</f>
        <v>12.6</v>
      </c>
    </row>
    <row r="58" customFormat="false" ht="15" hidden="false" customHeight="true" outlineLevel="0" collapsed="false">
      <c r="A58" s="11" t="s">
        <v>179</v>
      </c>
      <c r="B58" s="80" t="n">
        <f aca="false">Assumptions!$G$44</f>
        <v>1</v>
      </c>
    </row>
    <row r="59" customFormat="false" ht="15" hidden="false" customHeight="true" outlineLevel="0" collapsed="false">
      <c r="A59" s="77" t="s">
        <v>180</v>
      </c>
      <c r="F59" s="79" t="n">
        <f aca="false">F56*B58</f>
        <v>34.524</v>
      </c>
      <c r="G59" s="11" t="s">
        <v>181</v>
      </c>
      <c r="H59" s="79" t="n">
        <f aca="false">H56*B58</f>
        <v>10.332</v>
      </c>
    </row>
    <row r="60" customFormat="false" ht="15" hidden="false" customHeight="true" outlineLevel="0" collapsed="false">
      <c r="A60" s="11" t="s">
        <v>182</v>
      </c>
      <c r="F60" s="19" t="n">
        <f aca="false">F57*B58</f>
        <v>12.6</v>
      </c>
    </row>
    <row r="61" customFormat="false" ht="15" hidden="false" customHeight="true" outlineLevel="0" collapsed="false">
      <c r="A61" s="77" t="s">
        <v>183</v>
      </c>
      <c r="F61" s="79" t="n">
        <f aca="false">F59-H59-F60</f>
        <v>11.592</v>
      </c>
      <c r="G61" s="11" t="s">
        <v>184</v>
      </c>
      <c r="H61" s="15" t="n">
        <f aca="false">IF(F59=0,0,(F59-H59-F60)/F59)</f>
        <v>0.335766423357664</v>
      </c>
    </row>
    <row r="63" customFormat="false" ht="15" hidden="false" customHeight="true" outlineLevel="0" collapsed="false">
      <c r="A63" s="51" t="s">
        <v>189</v>
      </c>
      <c r="B63" s="50"/>
      <c r="C63" s="50"/>
      <c r="D63" s="50"/>
      <c r="E63" s="50"/>
      <c r="F63" s="50"/>
      <c r="G63" s="50"/>
      <c r="H63" s="50"/>
    </row>
    <row r="64" customFormat="false" ht="15" hidden="false" customHeight="true" outlineLevel="0" collapsed="false">
      <c r="A64" s="51" t="s">
        <v>158</v>
      </c>
      <c r="B64" s="52" t="s">
        <v>171</v>
      </c>
      <c r="C64" s="52" t="s">
        <v>172</v>
      </c>
      <c r="D64" s="52" t="s">
        <v>173</v>
      </c>
      <c r="E64" s="52" t="s">
        <v>161</v>
      </c>
      <c r="F64" s="52" t="s">
        <v>174</v>
      </c>
      <c r="G64" s="52" t="s">
        <v>175</v>
      </c>
      <c r="H64" s="52" t="s">
        <v>176</v>
      </c>
    </row>
    <row r="65" customFormat="false" ht="15" hidden="false" customHeight="true" outlineLevel="0" collapsed="false">
      <c r="A65" s="11" t="str">
        <f aca="false">Assumptions!$B$75</f>
        <v>Chalet</v>
      </c>
      <c r="B65" s="76" t="n">
        <f aca="false">D65/Assumptions!$D$75</f>
        <v>798.260869565217</v>
      </c>
      <c r="C65" s="76" t="n">
        <f aca="false">Assumptions!$D$75</f>
        <v>115</v>
      </c>
      <c r="D65" s="76" t="n">
        <f aca="false">Assumptions!$C$45*1000000*Assumptions!$D$45*(1-Assumptions!$L$45)*Assumptions!$C$75</f>
        <v>91800</v>
      </c>
      <c r="E65" s="76" t="n">
        <f aca="false">Assumptions!$E$75</f>
        <v>100000</v>
      </c>
      <c r="F65" s="19" t="n">
        <f aca="false">D65*E65/1000000000</f>
        <v>9.18</v>
      </c>
      <c r="G65" s="76" t="n">
        <f aca="false">Assumptions!$F$75</f>
        <v>32000</v>
      </c>
      <c r="H65" s="19" t="n">
        <f aca="false">D65*G65/1000000000</f>
        <v>2.9376</v>
      </c>
    </row>
    <row r="66" customFormat="false" ht="15" hidden="false" customHeight="true" outlineLevel="0" collapsed="false">
      <c r="A66" s="11" t="str">
        <f aca="false">Assumptions!$B$76</f>
        <v>Townhouse</v>
      </c>
      <c r="B66" s="76" t="n">
        <f aca="false">D66/Assumptions!$D$76</f>
        <v>206.756756756757</v>
      </c>
      <c r="C66" s="76" t="n">
        <f aca="false">Assumptions!$D$76</f>
        <v>185</v>
      </c>
      <c r="D66" s="76" t="n">
        <f aca="false">Assumptions!$C$45*1000000*Assumptions!$D$45*(1-Assumptions!$L$45)*Assumptions!$C$76</f>
        <v>38250</v>
      </c>
      <c r="E66" s="76" t="n">
        <f aca="false">Assumptions!$E$76</f>
        <v>120000</v>
      </c>
      <c r="F66" s="19" t="n">
        <f aca="false">D66*E66/1000000000</f>
        <v>4.59</v>
      </c>
      <c r="G66" s="76" t="n">
        <f aca="false">Assumptions!$F$76</f>
        <v>37000</v>
      </c>
      <c r="H66" s="19" t="n">
        <f aca="false">D66*G66/1000000000</f>
        <v>1.41525</v>
      </c>
    </row>
    <row r="67" customFormat="false" ht="15" hidden="false" customHeight="true" outlineLevel="0" collapsed="false">
      <c r="A67" s="11" t="str">
        <f aca="false">Assumptions!$B$77</f>
        <v>Villa</v>
      </c>
      <c r="B67" s="76" t="n">
        <f aca="false">D67/Assumptions!$D$77</f>
        <v>71.71875</v>
      </c>
      <c r="C67" s="76" t="n">
        <f aca="false">Assumptions!$D$77</f>
        <v>320</v>
      </c>
      <c r="D67" s="76" t="n">
        <f aca="false">Assumptions!$C$45*1000000*Assumptions!$D$45*(1-Assumptions!$L$45)*Assumptions!$C$77</f>
        <v>22950</v>
      </c>
      <c r="E67" s="76" t="n">
        <f aca="false">Assumptions!$E$77</f>
        <v>150000</v>
      </c>
      <c r="F67" s="19" t="n">
        <f aca="false">D67*E67/1000000000</f>
        <v>3.4425</v>
      </c>
      <c r="G67" s="76" t="n">
        <f aca="false">Assumptions!$F$77</f>
        <v>46000</v>
      </c>
      <c r="H67" s="19" t="n">
        <f aca="false">D67*G67/1000000000</f>
        <v>1.0557</v>
      </c>
    </row>
    <row r="68" customFormat="false" ht="15" hidden="false" customHeight="true" outlineLevel="0" collapsed="false">
      <c r="A68" s="77" t="s">
        <v>177</v>
      </c>
      <c r="B68" s="78" t="n">
        <f aca="false">SUM(B65:B67)</f>
        <v>1076.73637632197</v>
      </c>
      <c r="D68" s="78" t="n">
        <f aca="false">SUM(D65:D67)</f>
        <v>153000</v>
      </c>
      <c r="F68" s="79" t="n">
        <f aca="false">SUM(F65:F67)</f>
        <v>17.2125</v>
      </c>
      <c r="H68" s="79" t="n">
        <f aca="false">SUM(H65:H67)</f>
        <v>5.40855</v>
      </c>
    </row>
    <row r="69" customFormat="false" ht="15" hidden="false" customHeight="true" outlineLevel="0" collapsed="false">
      <c r="A69" s="11" t="s">
        <v>178</v>
      </c>
      <c r="D69" s="76" t="n">
        <f aca="false">Assumptions!$C$45*1000000*(1-Assumptions!$L$45)</f>
        <v>1275000</v>
      </c>
      <c r="E69" s="76" t="n">
        <f aca="false">Assumptions!$E$45</f>
        <v>5000</v>
      </c>
      <c r="F69" s="19" t="n">
        <f aca="false">D69*E69/1000000000</f>
        <v>6.375</v>
      </c>
    </row>
    <row r="70" customFormat="false" ht="15" hidden="false" customHeight="true" outlineLevel="0" collapsed="false">
      <c r="A70" s="11" t="s">
        <v>179</v>
      </c>
      <c r="B70" s="80" t="n">
        <f aca="false">Assumptions!$G$45</f>
        <v>1</v>
      </c>
    </row>
    <row r="71" customFormat="false" ht="15" hidden="false" customHeight="true" outlineLevel="0" collapsed="false">
      <c r="A71" s="77" t="s">
        <v>180</v>
      </c>
      <c r="F71" s="79" t="n">
        <f aca="false">F68*B70</f>
        <v>17.2125</v>
      </c>
      <c r="G71" s="11" t="s">
        <v>181</v>
      </c>
      <c r="H71" s="79" t="n">
        <f aca="false">H68*B70</f>
        <v>5.40855</v>
      </c>
    </row>
    <row r="72" customFormat="false" ht="15" hidden="false" customHeight="true" outlineLevel="0" collapsed="false">
      <c r="A72" s="11" t="s">
        <v>182</v>
      </c>
      <c r="F72" s="19" t="n">
        <f aca="false">F69*B70</f>
        <v>6.375</v>
      </c>
    </row>
    <row r="73" customFormat="false" ht="15" hidden="false" customHeight="true" outlineLevel="0" collapsed="false">
      <c r="A73" s="77" t="s">
        <v>183</v>
      </c>
      <c r="F73" s="79" t="n">
        <f aca="false">F71-H71-F72</f>
        <v>5.42895</v>
      </c>
      <c r="G73" s="11" t="s">
        <v>184</v>
      </c>
      <c r="H73" s="15" t="n">
        <f aca="false">IF(F71=0,0,(F71-H71-F72)/F71)</f>
        <v>0.315407407407407</v>
      </c>
    </row>
    <row r="75" customFormat="false" ht="15" hidden="false" customHeight="true" outlineLevel="0" collapsed="false">
      <c r="A75" s="51" t="s">
        <v>145</v>
      </c>
      <c r="B75" s="50"/>
      <c r="C75" s="50"/>
      <c r="D75" s="50"/>
      <c r="E75" s="50"/>
      <c r="F75" s="50"/>
      <c r="G75" s="50"/>
      <c r="H75" s="50"/>
    </row>
    <row r="76" customFormat="false" ht="15" hidden="false" customHeight="true" outlineLevel="0" collapsed="false">
      <c r="A76" s="51" t="s">
        <v>158</v>
      </c>
      <c r="B76" s="52" t="s">
        <v>171</v>
      </c>
      <c r="C76" s="52" t="s">
        <v>172</v>
      </c>
      <c r="D76" s="52" t="s">
        <v>173</v>
      </c>
      <c r="E76" s="52" t="s">
        <v>161</v>
      </c>
      <c r="F76" s="52" t="s">
        <v>174</v>
      </c>
      <c r="G76" s="52" t="s">
        <v>175</v>
      </c>
      <c r="H76" s="52" t="s">
        <v>176</v>
      </c>
    </row>
    <row r="77" customFormat="false" ht="15" hidden="false" customHeight="true" outlineLevel="0" collapsed="false">
      <c r="A77" s="11" t="str">
        <f aca="false">Assumptions!$B$78</f>
        <v>Chalet</v>
      </c>
      <c r="B77" s="76" t="n">
        <f aca="false">D77/Assumptions!$D$78</f>
        <v>4216.66666666667</v>
      </c>
      <c r="C77" s="76" t="n">
        <f aca="false">Assumptions!$D$78</f>
        <v>120</v>
      </c>
      <c r="D77" s="76" t="n">
        <f aca="false">Assumptions!$C$46*1000000*Assumptions!$D$46*(1-Assumptions!$L$46)*Assumptions!$C$78</f>
        <v>506000</v>
      </c>
      <c r="E77" s="76" t="n">
        <f aca="false">Assumptions!$E$78</f>
        <v>104000</v>
      </c>
      <c r="F77" s="19" t="n">
        <f aca="false">D77*E77/1000000000</f>
        <v>52.624</v>
      </c>
      <c r="G77" s="76" t="n">
        <f aca="false">Assumptions!$F$78</f>
        <v>35000</v>
      </c>
      <c r="H77" s="19" t="n">
        <f aca="false">D77*G77/1000000000</f>
        <v>17.71</v>
      </c>
    </row>
    <row r="78" customFormat="false" ht="15" hidden="false" customHeight="true" outlineLevel="0" collapsed="false">
      <c r="A78" s="11" t="str">
        <f aca="false">Assumptions!$B$79</f>
        <v>Townhouse</v>
      </c>
      <c r="B78" s="76" t="n">
        <f aca="false">D78/Assumptions!$D$79</f>
        <v>1210.52631578947</v>
      </c>
      <c r="C78" s="76" t="n">
        <f aca="false">Assumptions!$D$79</f>
        <v>190</v>
      </c>
      <c r="D78" s="76" t="n">
        <f aca="false">Assumptions!$C$46*1000000*Assumptions!$D$46*(1-Assumptions!$L$46)*Assumptions!$C$79</f>
        <v>230000</v>
      </c>
      <c r="E78" s="76" t="n">
        <f aca="false">Assumptions!$E$79</f>
        <v>128000</v>
      </c>
      <c r="F78" s="19" t="n">
        <f aca="false">D78*E78/1000000000</f>
        <v>29.44</v>
      </c>
      <c r="G78" s="76" t="n">
        <f aca="false">Assumptions!$F$79</f>
        <v>42000</v>
      </c>
      <c r="H78" s="19" t="n">
        <f aca="false">D78*G78/1000000000</f>
        <v>9.66</v>
      </c>
    </row>
    <row r="79" customFormat="false" ht="15" hidden="false" customHeight="true" outlineLevel="0" collapsed="false">
      <c r="A79" s="11" t="str">
        <f aca="false">Assumptions!$B$80</f>
        <v>Villa</v>
      </c>
      <c r="B79" s="76" t="n">
        <f aca="false">D79/Assumptions!$D$80</f>
        <v>557.575757575758</v>
      </c>
      <c r="C79" s="76" t="n">
        <f aca="false">Assumptions!$D$80</f>
        <v>330</v>
      </c>
      <c r="D79" s="76" t="n">
        <f aca="false">Assumptions!$C$46*1000000*Assumptions!$D$46*(1-Assumptions!$L$46)*Assumptions!$C$80</f>
        <v>184000</v>
      </c>
      <c r="E79" s="76" t="n">
        <f aca="false">Assumptions!$E$80</f>
        <v>166000</v>
      </c>
      <c r="F79" s="19" t="n">
        <f aca="false">D79*E79/1000000000</f>
        <v>30.544</v>
      </c>
      <c r="G79" s="76" t="n">
        <f aca="false">Assumptions!$F$80</f>
        <v>52000</v>
      </c>
      <c r="H79" s="19" t="n">
        <f aca="false">D79*G79/1000000000</f>
        <v>9.568</v>
      </c>
    </row>
    <row r="80" customFormat="false" ht="15" hidden="false" customHeight="true" outlineLevel="0" collapsed="false">
      <c r="A80" s="77" t="s">
        <v>177</v>
      </c>
      <c r="B80" s="78" t="n">
        <f aca="false">SUM(B77:B79)</f>
        <v>5984.7687400319</v>
      </c>
      <c r="D80" s="78" t="n">
        <f aca="false">SUM(D77:D79)</f>
        <v>920000</v>
      </c>
      <c r="F80" s="79" t="n">
        <f aca="false">SUM(F77:F79)</f>
        <v>112.608</v>
      </c>
      <c r="H80" s="79" t="n">
        <f aca="false">SUM(H77:H79)</f>
        <v>36.938</v>
      </c>
    </row>
    <row r="81" customFormat="false" ht="15" hidden="false" customHeight="true" outlineLevel="0" collapsed="false">
      <c r="A81" s="11" t="s">
        <v>178</v>
      </c>
      <c r="D81" s="76" t="n">
        <f aca="false">Assumptions!$C$46*1000000*(1-Assumptions!$L$46)</f>
        <v>9200000</v>
      </c>
      <c r="E81" s="76" t="n">
        <f aca="false">Assumptions!$E$46</f>
        <v>6000</v>
      </c>
      <c r="F81" s="19" t="n">
        <f aca="false">D81*E81/1000000000</f>
        <v>55.2</v>
      </c>
    </row>
    <row r="82" customFormat="false" ht="15" hidden="false" customHeight="true" outlineLevel="0" collapsed="false">
      <c r="A82" s="11" t="s">
        <v>179</v>
      </c>
      <c r="B82" s="80" t="n">
        <f aca="false">Assumptions!$G$46</f>
        <v>0.25</v>
      </c>
    </row>
    <row r="83" customFormat="false" ht="15" hidden="false" customHeight="true" outlineLevel="0" collapsed="false">
      <c r="A83" s="77" t="s">
        <v>180</v>
      </c>
      <c r="F83" s="79" t="n">
        <f aca="false">F80*B82</f>
        <v>28.152</v>
      </c>
      <c r="G83" s="11" t="s">
        <v>181</v>
      </c>
      <c r="H83" s="79" t="n">
        <f aca="false">H80*B82</f>
        <v>9.2345</v>
      </c>
    </row>
    <row r="84" customFormat="false" ht="15" hidden="false" customHeight="true" outlineLevel="0" collapsed="false">
      <c r="A84" s="11" t="s">
        <v>182</v>
      </c>
      <c r="F84" s="19" t="n">
        <f aca="false">F81*B82</f>
        <v>13.8</v>
      </c>
    </row>
    <row r="85" customFormat="false" ht="15" hidden="false" customHeight="true" outlineLevel="0" collapsed="false">
      <c r="A85" s="77" t="s">
        <v>183</v>
      </c>
      <c r="F85" s="79" t="n">
        <f aca="false">F83-H83-F84</f>
        <v>5.1175</v>
      </c>
      <c r="G85" s="11" t="s">
        <v>184</v>
      </c>
      <c r="H85" s="15" t="n">
        <f aca="false">IF(F83=0,0,(F83-H83-F84)/F83)</f>
        <v>0.181781045751634</v>
      </c>
    </row>
    <row r="87" customFormat="false" ht="15" hidden="false" customHeight="true" outlineLevel="0" collapsed="false">
      <c r="A87" s="51" t="s">
        <v>190</v>
      </c>
      <c r="B87" s="50"/>
      <c r="C87" s="50"/>
      <c r="D87" s="50"/>
      <c r="E87" s="50"/>
      <c r="F87" s="50"/>
      <c r="G87" s="50"/>
      <c r="H87" s="50"/>
    </row>
    <row r="88" customFormat="false" ht="15" hidden="false" customHeight="true" outlineLevel="0" collapsed="false">
      <c r="A88" s="51" t="s">
        <v>158</v>
      </c>
      <c r="B88" s="52" t="s">
        <v>171</v>
      </c>
      <c r="C88" s="52" t="s">
        <v>172</v>
      </c>
      <c r="D88" s="52" t="s">
        <v>173</v>
      </c>
      <c r="E88" s="52" t="s">
        <v>161</v>
      </c>
      <c r="F88" s="52" t="s">
        <v>174</v>
      </c>
      <c r="G88" s="52" t="s">
        <v>175</v>
      </c>
      <c r="H88" s="52" t="s">
        <v>176</v>
      </c>
    </row>
    <row r="89" customFormat="false" ht="15" hidden="false" customHeight="true" outlineLevel="0" collapsed="false">
      <c r="A89" s="11" t="str">
        <f aca="false">Assumptions!$B$81</f>
        <v>Apartment</v>
      </c>
      <c r="B89" s="76" t="n">
        <f aca="false">D89/Assumptions!$D$81</f>
        <v>1466.66666666667</v>
      </c>
      <c r="C89" s="76" t="n">
        <f aca="false">Assumptions!$D$81</f>
        <v>135</v>
      </c>
      <c r="D89" s="76" t="n">
        <f aca="false">Assumptions!$C$47*1000000*Assumptions!$D$47*(1-Assumptions!$L$47)*Assumptions!$C$81</f>
        <v>198000</v>
      </c>
      <c r="E89" s="76" t="n">
        <f aca="false">Assumptions!$E$81</f>
        <v>80000</v>
      </c>
      <c r="F89" s="19" t="n">
        <f aca="false">D89*E89/1000000000</f>
        <v>15.84</v>
      </c>
      <c r="G89" s="76" t="n">
        <f aca="false">Assumptions!$F$81</f>
        <v>26000</v>
      </c>
      <c r="H89" s="19" t="n">
        <f aca="false">D89*G89/1000000000</f>
        <v>5.148</v>
      </c>
    </row>
    <row r="90" customFormat="false" ht="15" hidden="false" customHeight="true" outlineLevel="0" collapsed="false">
      <c r="A90" s="11" t="str">
        <f aca="false">Assumptions!$B$82</f>
        <v>Townhouse/Twin</v>
      </c>
      <c r="B90" s="76" t="n">
        <f aca="false">D90/Assumptions!$D$82</f>
        <v>514.285714285714</v>
      </c>
      <c r="C90" s="76" t="n">
        <f aca="false">Assumptions!$D$82</f>
        <v>210</v>
      </c>
      <c r="D90" s="76" t="n">
        <f aca="false">Assumptions!$C$47*1000000*Assumptions!$D$47*(1-Assumptions!$L$47)*Assumptions!$C$82</f>
        <v>108000</v>
      </c>
      <c r="E90" s="76" t="n">
        <f aca="false">Assumptions!$E$82</f>
        <v>95000</v>
      </c>
      <c r="F90" s="19" t="n">
        <f aca="false">D90*E90/1000000000</f>
        <v>10.26</v>
      </c>
      <c r="G90" s="76" t="n">
        <f aca="false">Assumptions!$F$82</f>
        <v>30000</v>
      </c>
      <c r="H90" s="19" t="n">
        <f aca="false">D90*G90/1000000000</f>
        <v>3.24</v>
      </c>
    </row>
    <row r="91" customFormat="false" ht="15" hidden="false" customHeight="true" outlineLevel="0" collapsed="false">
      <c r="A91" s="11" t="str">
        <f aca="false">Assumptions!$B$83</f>
        <v>Villa</v>
      </c>
      <c r="B91" s="76" t="n">
        <f aca="false">D91/Assumptions!$D$83</f>
        <v>163.636363636364</v>
      </c>
      <c r="C91" s="76" t="n">
        <f aca="false">Assumptions!$D$83</f>
        <v>330</v>
      </c>
      <c r="D91" s="76" t="n">
        <f aca="false">Assumptions!$C$47*1000000*Assumptions!$D$47*(1-Assumptions!$L$47)*Assumptions!$C$83</f>
        <v>54000</v>
      </c>
      <c r="E91" s="76" t="n">
        <f aca="false">Assumptions!$E$83</f>
        <v>120000</v>
      </c>
      <c r="F91" s="19" t="n">
        <f aca="false">D91*E91/1000000000</f>
        <v>6.48</v>
      </c>
      <c r="G91" s="76" t="n">
        <f aca="false">Assumptions!$F$83</f>
        <v>38000</v>
      </c>
      <c r="H91" s="19" t="n">
        <f aca="false">D91*G91/1000000000</f>
        <v>2.052</v>
      </c>
    </row>
    <row r="92" customFormat="false" ht="15" hidden="false" customHeight="true" outlineLevel="0" collapsed="false">
      <c r="A92" s="77" t="s">
        <v>177</v>
      </c>
      <c r="B92" s="78" t="n">
        <f aca="false">SUM(B89:B91)</f>
        <v>2144.58874458874</v>
      </c>
      <c r="D92" s="78" t="n">
        <f aca="false">SUM(D89:D91)</f>
        <v>360000</v>
      </c>
      <c r="F92" s="79" t="n">
        <f aca="false">SUM(F89:F91)</f>
        <v>32.58</v>
      </c>
      <c r="H92" s="79" t="n">
        <f aca="false">SUM(H89:H91)</f>
        <v>10.44</v>
      </c>
    </row>
    <row r="93" customFormat="false" ht="15" hidden="false" customHeight="true" outlineLevel="0" collapsed="false">
      <c r="A93" s="11" t="s">
        <v>178</v>
      </c>
      <c r="D93" s="76" t="n">
        <f aca="false">Assumptions!$C$47*1000000*(1-Assumptions!$L$47)</f>
        <v>3000000</v>
      </c>
      <c r="E93" s="76" t="n">
        <f aca="false">Assumptions!$E$47</f>
        <v>5000</v>
      </c>
      <c r="F93" s="19" t="n">
        <f aca="false">D93*E93/1000000000</f>
        <v>15</v>
      </c>
    </row>
    <row r="94" customFormat="false" ht="15" hidden="false" customHeight="true" outlineLevel="0" collapsed="false">
      <c r="A94" s="11" t="s">
        <v>179</v>
      </c>
      <c r="B94" s="80" t="n">
        <f aca="false">Assumptions!$G$47</f>
        <v>1</v>
      </c>
    </row>
    <row r="95" customFormat="false" ht="15" hidden="false" customHeight="true" outlineLevel="0" collapsed="false">
      <c r="A95" s="77" t="s">
        <v>180</v>
      </c>
      <c r="F95" s="79" t="n">
        <f aca="false">F92*B94</f>
        <v>32.58</v>
      </c>
      <c r="G95" s="11" t="s">
        <v>181</v>
      </c>
      <c r="H95" s="79" t="n">
        <f aca="false">H92*B94</f>
        <v>10.44</v>
      </c>
    </row>
    <row r="96" customFormat="false" ht="15" hidden="false" customHeight="true" outlineLevel="0" collapsed="false">
      <c r="A96" s="11" t="s">
        <v>182</v>
      </c>
      <c r="F96" s="19" t="n">
        <f aca="false">F93*B94</f>
        <v>15</v>
      </c>
    </row>
    <row r="97" customFormat="false" ht="15" hidden="false" customHeight="true" outlineLevel="0" collapsed="false">
      <c r="A97" s="77" t="s">
        <v>183</v>
      </c>
      <c r="F97" s="79" t="n">
        <f aca="false">F95-H95-F96</f>
        <v>7.14</v>
      </c>
      <c r="G97" s="11" t="s">
        <v>184</v>
      </c>
      <c r="H97" s="15" t="n">
        <f aca="false">IF(F95=0,0,(F95-H95-F96)/F95)</f>
        <v>0.21915285451197</v>
      </c>
    </row>
    <row r="99" customFormat="false" ht="15" hidden="false" customHeight="true" outlineLevel="0" collapsed="false">
      <c r="A99" s="77"/>
    </row>
    <row r="100" customFormat="false" ht="15" hidden="false" customHeight="true" outlineLevel="0" collapsed="false">
      <c r="A100" s="73"/>
      <c r="B100" s="81"/>
      <c r="C100" s="81"/>
      <c r="D100" s="81"/>
      <c r="E100" s="81"/>
      <c r="F100" s="81"/>
      <c r="G100" s="81"/>
      <c r="H100" s="81"/>
    </row>
    <row r="101" customFormat="false" ht="15" hidden="false" customHeight="true" outlineLevel="0" collapsed="false">
      <c r="A101" s="82"/>
      <c r="B101" s="76"/>
      <c r="C101" s="83"/>
      <c r="D101" s="76"/>
      <c r="E101" s="83"/>
      <c r="F101" s="19"/>
      <c r="G101" s="83"/>
      <c r="H101" s="19"/>
    </row>
    <row r="102" customFormat="false" ht="15" hidden="false" customHeight="true" outlineLevel="0" collapsed="false">
      <c r="A102" s="82"/>
      <c r="B102" s="76"/>
      <c r="C102" s="83"/>
      <c r="D102" s="76"/>
      <c r="E102" s="83"/>
      <c r="F102" s="19"/>
      <c r="G102" s="83"/>
      <c r="H102" s="19"/>
    </row>
    <row r="103" customFormat="false" ht="15" hidden="false" customHeight="true" outlineLevel="0" collapsed="false">
      <c r="A103" s="82"/>
      <c r="B103" s="76"/>
      <c r="C103" s="83"/>
      <c r="D103" s="76"/>
      <c r="E103" s="83"/>
      <c r="F103" s="19"/>
      <c r="G103" s="83"/>
      <c r="H103" s="19"/>
    </row>
    <row r="104" customFormat="false" ht="15" hidden="false" customHeight="true" outlineLevel="0" collapsed="false">
      <c r="A104" s="77"/>
      <c r="B104" s="78"/>
      <c r="D104" s="78"/>
      <c r="F104" s="79"/>
      <c r="H104" s="79"/>
    </row>
    <row r="105" customFormat="false" ht="15" hidden="false" customHeight="true" outlineLevel="0" collapsed="false">
      <c r="A105" s="11"/>
      <c r="D105" s="76"/>
      <c r="E105" s="83"/>
      <c r="F105" s="19"/>
    </row>
    <row r="106" customFormat="false" ht="15" hidden="false" customHeight="true" outlineLevel="0" collapsed="false">
      <c r="A106" s="11"/>
      <c r="B106" s="84"/>
    </row>
    <row r="107" customFormat="false" ht="15" hidden="false" customHeight="true" outlineLevel="0" collapsed="false">
      <c r="A107" s="77"/>
      <c r="F107" s="79"/>
      <c r="G107" s="11"/>
      <c r="H107" s="19"/>
    </row>
    <row r="108" customFormat="false" ht="15" hidden="false" customHeight="true" outlineLevel="0" collapsed="false">
      <c r="A108" s="11"/>
      <c r="F108" s="19"/>
    </row>
    <row r="109" customFormat="false" ht="15" hidden="false" customHeight="true" outlineLevel="0" collapsed="false">
      <c r="A109" s="77"/>
      <c r="F109" s="79"/>
      <c r="G109" s="11"/>
      <c r="H109" s="15"/>
    </row>
    <row r="111" customFormat="false" ht="15" hidden="false" customHeight="true" outlineLevel="0" collapsed="false">
      <c r="A111" s="77"/>
    </row>
    <row r="112" customFormat="false" ht="15" hidden="false" customHeight="true" outlineLevel="0" collapsed="false">
      <c r="A112" s="73"/>
      <c r="B112" s="81"/>
      <c r="C112" s="81"/>
      <c r="D112" s="81"/>
      <c r="E112" s="81"/>
      <c r="F112" s="81"/>
      <c r="G112" s="81"/>
      <c r="H112" s="81"/>
    </row>
    <row r="113" customFormat="false" ht="15" hidden="false" customHeight="true" outlineLevel="0" collapsed="false">
      <c r="A113" s="82"/>
      <c r="B113" s="76"/>
      <c r="C113" s="83"/>
      <c r="D113" s="76"/>
      <c r="E113" s="83"/>
      <c r="F113" s="19"/>
      <c r="G113" s="83"/>
      <c r="H113" s="19"/>
    </row>
    <row r="114" customFormat="false" ht="15" hidden="false" customHeight="true" outlineLevel="0" collapsed="false">
      <c r="A114" s="82"/>
      <c r="B114" s="76"/>
      <c r="C114" s="83"/>
      <c r="D114" s="76"/>
      <c r="E114" s="83"/>
      <c r="F114" s="19"/>
      <c r="G114" s="83"/>
      <c r="H114" s="19"/>
    </row>
    <row r="115" customFormat="false" ht="15" hidden="false" customHeight="true" outlineLevel="0" collapsed="false">
      <c r="A115" s="82"/>
      <c r="B115" s="76"/>
      <c r="C115" s="83"/>
      <c r="D115" s="76"/>
      <c r="E115" s="83"/>
      <c r="F115" s="19"/>
      <c r="G115" s="83"/>
      <c r="H115" s="19"/>
    </row>
    <row r="116" customFormat="false" ht="15" hidden="false" customHeight="true" outlineLevel="0" collapsed="false">
      <c r="A116" s="77"/>
      <c r="B116" s="78"/>
      <c r="D116" s="78"/>
      <c r="F116" s="79"/>
      <c r="H116" s="79"/>
    </row>
    <row r="117" customFormat="false" ht="15" hidden="false" customHeight="true" outlineLevel="0" collapsed="false">
      <c r="A117" s="11"/>
      <c r="D117" s="76"/>
      <c r="E117" s="83"/>
      <c r="F117" s="19"/>
    </row>
    <row r="118" customFormat="false" ht="15" hidden="false" customHeight="true" outlineLevel="0" collapsed="false">
      <c r="A118" s="11"/>
      <c r="B118" s="84"/>
    </row>
    <row r="119" customFormat="false" ht="15" hidden="false" customHeight="true" outlineLevel="0" collapsed="false">
      <c r="A119" s="77"/>
      <c r="F119" s="79"/>
      <c r="G119" s="11"/>
      <c r="H119" s="19"/>
    </row>
    <row r="120" customFormat="false" ht="15" hidden="false" customHeight="true" outlineLevel="0" collapsed="false">
      <c r="A120" s="11"/>
      <c r="F120" s="19"/>
    </row>
    <row r="121" customFormat="false" ht="15" hidden="false" customHeight="true" outlineLevel="0" collapsed="false">
      <c r="A121" s="77"/>
      <c r="F121" s="79"/>
      <c r="G121" s="11"/>
      <c r="H121" s="15"/>
    </row>
    <row r="123" customFormat="false" ht="15" hidden="false" customHeight="true" outlineLevel="0" collapsed="false">
      <c r="A123" s="77"/>
    </row>
    <row r="124" customFormat="false" ht="15" hidden="false" customHeight="true" outlineLevel="0" collapsed="false">
      <c r="A124" s="73"/>
      <c r="B124" s="81"/>
      <c r="C124" s="81"/>
      <c r="D124" s="81"/>
      <c r="E124" s="81"/>
      <c r="F124" s="81"/>
      <c r="G124" s="81"/>
      <c r="H124" s="81"/>
    </row>
    <row r="125" customFormat="false" ht="15" hidden="false" customHeight="true" outlineLevel="0" collapsed="false">
      <c r="A125" s="82"/>
      <c r="B125" s="76"/>
      <c r="C125" s="83"/>
      <c r="D125" s="76"/>
      <c r="E125" s="83"/>
      <c r="F125" s="19"/>
      <c r="G125" s="83"/>
      <c r="H125" s="19"/>
    </row>
    <row r="126" customFormat="false" ht="15" hidden="false" customHeight="true" outlineLevel="0" collapsed="false">
      <c r="A126" s="82"/>
      <c r="B126" s="76"/>
      <c r="C126" s="83"/>
      <c r="D126" s="76"/>
      <c r="E126" s="83"/>
      <c r="F126" s="19"/>
      <c r="G126" s="83"/>
      <c r="H126" s="19"/>
    </row>
    <row r="127" customFormat="false" ht="15" hidden="false" customHeight="true" outlineLevel="0" collapsed="false">
      <c r="A127" s="82"/>
      <c r="B127" s="76"/>
      <c r="C127" s="83"/>
      <c r="D127" s="76"/>
      <c r="E127" s="83"/>
      <c r="F127" s="19"/>
      <c r="G127" s="83"/>
      <c r="H127" s="19"/>
    </row>
    <row r="128" customFormat="false" ht="15" hidden="false" customHeight="true" outlineLevel="0" collapsed="false">
      <c r="A128" s="77"/>
      <c r="B128" s="78"/>
      <c r="D128" s="78"/>
      <c r="F128" s="79"/>
      <c r="H128" s="79"/>
    </row>
    <row r="129" customFormat="false" ht="15" hidden="false" customHeight="true" outlineLevel="0" collapsed="false">
      <c r="A129" s="11"/>
      <c r="D129" s="76"/>
      <c r="E129" s="83"/>
      <c r="F129" s="19"/>
    </row>
    <row r="130" customFormat="false" ht="15" hidden="false" customHeight="true" outlineLevel="0" collapsed="false">
      <c r="A130" s="11"/>
      <c r="B130" s="84"/>
    </row>
    <row r="131" customFormat="false" ht="15" hidden="false" customHeight="true" outlineLevel="0" collapsed="false">
      <c r="A131" s="77"/>
      <c r="F131" s="79"/>
      <c r="G131" s="11"/>
      <c r="H131" s="19"/>
    </row>
    <row r="132" customFormat="false" ht="15" hidden="false" customHeight="true" outlineLevel="0" collapsed="false">
      <c r="A132" s="11"/>
      <c r="F132" s="19"/>
    </row>
    <row r="133" customFormat="false" ht="15" hidden="false" customHeight="true" outlineLevel="0" collapsed="false">
      <c r="A133" s="77"/>
      <c r="F133" s="79"/>
      <c r="G133" s="11"/>
      <c r="H133" s="15"/>
    </row>
    <row r="135" customFormat="false" ht="15" hidden="false" customHeight="true" outlineLevel="0" collapsed="false">
      <c r="A135" s="77"/>
    </row>
    <row r="136" customFormat="false" ht="15" hidden="false" customHeight="true" outlineLevel="0" collapsed="false">
      <c r="A136" s="73"/>
      <c r="B136" s="81"/>
      <c r="C136" s="81"/>
      <c r="D136" s="81"/>
      <c r="E136" s="81"/>
      <c r="F136" s="81"/>
      <c r="G136" s="81"/>
      <c r="H136" s="81"/>
    </row>
    <row r="137" customFormat="false" ht="15" hidden="false" customHeight="true" outlineLevel="0" collapsed="false">
      <c r="A137" s="82"/>
      <c r="B137" s="76"/>
      <c r="C137" s="83"/>
      <c r="D137" s="76"/>
      <c r="E137" s="83"/>
      <c r="F137" s="19"/>
      <c r="G137" s="83"/>
      <c r="H137" s="19"/>
    </row>
    <row r="138" customFormat="false" ht="15" hidden="false" customHeight="true" outlineLevel="0" collapsed="false">
      <c r="A138" s="82"/>
      <c r="B138" s="76"/>
      <c r="C138" s="83"/>
      <c r="D138" s="76"/>
      <c r="E138" s="83"/>
      <c r="F138" s="19"/>
      <c r="G138" s="83"/>
      <c r="H138" s="19"/>
    </row>
    <row r="139" customFormat="false" ht="15" hidden="false" customHeight="true" outlineLevel="0" collapsed="false">
      <c r="A139" s="82"/>
      <c r="B139" s="76"/>
      <c r="C139" s="83"/>
      <c r="D139" s="76"/>
      <c r="E139" s="83"/>
      <c r="F139" s="19"/>
      <c r="G139" s="83"/>
      <c r="H139" s="19"/>
    </row>
    <row r="140" customFormat="false" ht="15" hidden="false" customHeight="true" outlineLevel="0" collapsed="false">
      <c r="A140" s="77"/>
      <c r="B140" s="78"/>
      <c r="D140" s="78"/>
      <c r="F140" s="79"/>
      <c r="H140" s="79"/>
    </row>
    <row r="141" customFormat="false" ht="15" hidden="false" customHeight="true" outlineLevel="0" collapsed="false">
      <c r="A141" s="11"/>
      <c r="D141" s="76"/>
      <c r="E141" s="83"/>
      <c r="F141" s="19"/>
    </row>
    <row r="142" customFormat="false" ht="15" hidden="false" customHeight="true" outlineLevel="0" collapsed="false">
      <c r="A142" s="11"/>
      <c r="B142" s="84"/>
    </row>
    <row r="143" customFormat="false" ht="15" hidden="false" customHeight="true" outlineLevel="0" collapsed="false">
      <c r="A143" s="77"/>
      <c r="F143" s="79"/>
      <c r="G143" s="11"/>
      <c r="H143" s="19"/>
    </row>
    <row r="144" customFormat="false" ht="15" hidden="false" customHeight="true" outlineLevel="0" collapsed="false">
      <c r="A144" s="11"/>
      <c r="F144" s="19"/>
    </row>
    <row r="145" customFormat="false" ht="15" hidden="false" customHeight="true" outlineLevel="0" collapsed="false">
      <c r="A145" s="77"/>
      <c r="F145" s="79"/>
      <c r="G145" s="11"/>
      <c r="H145" s="15"/>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5" min="3" style="1" width="9"/>
  </cols>
  <sheetData>
    <row r="1" customFormat="false" ht="15.75" hidden="false" customHeight="true" outlineLevel="0" collapsed="false">
      <c r="A1" s="7" t="s">
        <v>191</v>
      </c>
      <c r="B1" s="1"/>
    </row>
    <row r="2" customFormat="false" ht="15" hidden="false" customHeight="true" outlineLevel="0" collapsed="false">
      <c r="A2" s="75" t="s">
        <v>192</v>
      </c>
      <c r="B2" s="1"/>
    </row>
    <row r="3" customFormat="false" ht="15" hidden="false" customHeight="true" outlineLevel="0" collapsed="false">
      <c r="A3" s="10" t="s">
        <v>193</v>
      </c>
      <c r="B3" s="50"/>
      <c r="C3" s="50"/>
      <c r="D3" s="50"/>
      <c r="E3" s="50"/>
      <c r="F3" s="50"/>
      <c r="G3" s="50"/>
      <c r="H3" s="50"/>
      <c r="I3" s="50"/>
      <c r="J3" s="50"/>
      <c r="K3" s="50"/>
      <c r="L3" s="50"/>
      <c r="M3" s="50"/>
      <c r="N3" s="50"/>
      <c r="O3" s="50"/>
      <c r="P3" s="50"/>
      <c r="Q3" s="50"/>
      <c r="R3" s="50"/>
      <c r="S3" s="50"/>
      <c r="T3" s="50"/>
      <c r="U3" s="50"/>
      <c r="V3" s="50"/>
      <c r="W3" s="50"/>
      <c r="X3" s="50"/>
      <c r="Y3" s="50"/>
      <c r="Z3" s="50"/>
    </row>
    <row r="4" customFormat="false" ht="15" hidden="false" customHeight="true" outlineLevel="0" collapsed="false">
      <c r="A4" s="51" t="s">
        <v>194</v>
      </c>
      <c r="C4" s="85" t="n">
        <v>2026</v>
      </c>
      <c r="D4" s="85" t="n">
        <v>2027</v>
      </c>
      <c r="E4" s="85" t="n">
        <v>2028</v>
      </c>
      <c r="F4" s="85" t="n">
        <v>2029</v>
      </c>
      <c r="G4" s="85" t="n">
        <v>2030</v>
      </c>
      <c r="H4" s="85" t="n">
        <v>2031</v>
      </c>
      <c r="I4" s="85" t="n">
        <v>2032</v>
      </c>
      <c r="J4" s="85" t="n">
        <v>2033</v>
      </c>
      <c r="K4" s="85" t="n">
        <v>2034</v>
      </c>
      <c r="L4" s="85" t="n">
        <v>2035</v>
      </c>
      <c r="M4" s="85" t="n">
        <v>2036</v>
      </c>
      <c r="N4" s="85" t="n">
        <v>2037</v>
      </c>
      <c r="O4" s="85" t="n">
        <v>2038</v>
      </c>
      <c r="P4" s="85" t="n">
        <v>2039</v>
      </c>
      <c r="Q4" s="85" t="n">
        <v>2040</v>
      </c>
      <c r="R4" s="85" t="n">
        <v>2041</v>
      </c>
      <c r="S4" s="85" t="n">
        <v>2042</v>
      </c>
      <c r="T4" s="85" t="n">
        <v>2043</v>
      </c>
      <c r="U4" s="85" t="n">
        <v>2044</v>
      </c>
      <c r="V4" s="85" t="n">
        <v>2045</v>
      </c>
      <c r="W4" s="85" t="n">
        <v>2046</v>
      </c>
      <c r="X4" s="85" t="n">
        <v>2047</v>
      </c>
      <c r="Y4" s="85" t="n">
        <v>2048</v>
      </c>
    </row>
    <row r="5" customFormat="false" ht="15" hidden="false" customHeight="true" outlineLevel="0" collapsed="false">
      <c r="A5" s="82" t="s">
        <v>195</v>
      </c>
      <c r="C5" s="86" t="n">
        <f aca="false">C14+C23+C32+C41+C50+C59+C68+C77</f>
        <v>26.1569</v>
      </c>
      <c r="D5" s="86" t="n">
        <f aca="false">D14+D23+D32+D41+D50+D59+D68+D77</f>
        <v>29.8189</v>
      </c>
      <c r="E5" s="86" t="n">
        <f aca="false">E14+E23+E32+E41+E50+E59+E68+E77</f>
        <v>33.9935</v>
      </c>
      <c r="F5" s="86" t="n">
        <f aca="false">F14+F23+F32+F41+F50+F59+F68+F77</f>
        <v>38.7527</v>
      </c>
      <c r="G5" s="86" t="n">
        <f aca="false">G14+G23+G32+G41+G50+G59+G68+G77</f>
        <v>44.1779</v>
      </c>
      <c r="H5" s="86" t="n">
        <f aca="false">H14+H23+H32+H41+H50+H59+H68+H77</f>
        <v>50.3629</v>
      </c>
      <c r="I5" s="86" t="n">
        <f aca="false">I14+I23+I32+I41+I50+I59+I68+I77</f>
        <v>47.886</v>
      </c>
      <c r="J5" s="86" t="n">
        <f aca="false">J14+J23+J32+J41+J50+J59+J68+J77</f>
        <v>36.096</v>
      </c>
      <c r="K5" s="86" t="n">
        <f aca="false">K14+K23+K32+K41+K50+K59+K68+K77</f>
        <v>18.4824</v>
      </c>
      <c r="L5" s="86" t="n">
        <f aca="false">L14+L23+L32+L41+L50+L59+L68+L77</f>
        <v>7.6291</v>
      </c>
      <c r="M5" s="86" t="n">
        <f aca="false">M14+M23+M32+M41+M50+M59+M68+M77</f>
        <v>8.6971</v>
      </c>
      <c r="N5" s="86" t="n">
        <f aca="false">N14+N23+N32+N41+N50+N59+N68+N77</f>
        <v>9.9147</v>
      </c>
      <c r="O5" s="86" t="n">
        <f aca="false">O14+O23+O32+O41+O50+O59+O68+O77</f>
        <v>0</v>
      </c>
      <c r="P5" s="86" t="n">
        <f aca="false">P14+P23+P32+P41+P50+P59+P68+P77</f>
        <v>0</v>
      </c>
      <c r="Q5" s="86" t="n">
        <f aca="false">Q14+Q23+Q32+Q41+Q50+Q59+Q68+Q77</f>
        <v>0</v>
      </c>
      <c r="R5" s="86" t="n">
        <f aca="false">R14+R23+R32+R41+R50+R59+R68+R77</f>
        <v>0</v>
      </c>
      <c r="S5" s="86" t="n">
        <f aca="false">S14+S23+S32+S41+S50+S59+S68+S77</f>
        <v>0</v>
      </c>
      <c r="T5" s="86" t="n">
        <f aca="false">T14+T23+T32+T41+T50+T59+T68+T77</f>
        <v>0</v>
      </c>
      <c r="U5" s="86" t="n">
        <f aca="false">U14+U23+U32+U41+U50+U59+U68+U77</f>
        <v>0</v>
      </c>
      <c r="V5" s="86" t="n">
        <f aca="false">V14+V23+V32+V41+V50+V59+V68+V77</f>
        <v>0</v>
      </c>
      <c r="W5" s="86" t="n">
        <f aca="false">W14+W23+W32+W41+W50+W59+W68+W77</f>
        <v>0</v>
      </c>
      <c r="X5" s="86" t="n">
        <f aca="false">X14+X23+X32+X41+X50+X59+X68+X77</f>
        <v>0</v>
      </c>
      <c r="Y5" s="86" t="n">
        <f aca="false">Y14+Y23+Y32+Y41+Y50+Y59+Y68+Y77</f>
        <v>0</v>
      </c>
    </row>
    <row r="6" customFormat="false" ht="15" hidden="false" customHeight="true" outlineLevel="0" collapsed="false">
      <c r="A6" s="82" t="s">
        <v>196</v>
      </c>
      <c r="C6" s="86" t="n">
        <f aca="false">C15+C24+C33+C42+C51+C60+C69+C78+C87</f>
        <v>14.5324</v>
      </c>
      <c r="D6" s="86" t="n">
        <f aca="false">D15+D24+D33+D42+D51+D60+D69+D78+D87</f>
        <v>17.8413</v>
      </c>
      <c r="E6" s="86" t="n">
        <f aca="false">E15+E24+E33+E42+E51+E60+E69+E78+E87</f>
        <v>21.6132</v>
      </c>
      <c r="F6" s="86" t="n">
        <f aca="false">F15+F24+F33+F42+F51+F60+F69+F78+F87</f>
        <v>25.9136</v>
      </c>
      <c r="G6" s="86" t="n">
        <f aca="false">G15+G24+G33+G42+G51+G60+G69+G78+G87</f>
        <v>30.8157</v>
      </c>
      <c r="H6" s="86" t="n">
        <f aca="false">H15+H24+H33+H42+H51+H60+H69+H78+H87</f>
        <v>36.4043</v>
      </c>
      <c r="I6" s="86" t="n">
        <f aca="false">I15+I24+I33+I42+I51+I60+I69+I78+I87</f>
        <v>29.9057</v>
      </c>
      <c r="J6" s="86" t="n">
        <f aca="false">J15+J24+J33+J42+J51+J60+J69+J78+J87</f>
        <v>34.1139</v>
      </c>
      <c r="K6" s="86" t="n">
        <f aca="false">K15+K24+K33+K42+K51+K60+K69+K78+K87</f>
        <v>36.4133</v>
      </c>
      <c r="L6" s="86" t="n">
        <f aca="false">L15+L24+L33+L42+L51+L60+L69+L78+L87</f>
        <v>34.4646</v>
      </c>
      <c r="M6" s="86" t="n">
        <f aca="false">M15+M24+M33+M42+M51+M60+M69+M78+M87</f>
        <v>32.075</v>
      </c>
      <c r="N6" s="86" t="n">
        <f aca="false">N15+N24+N33+N42+N51+N60+N69+N78+N87</f>
        <v>29.351</v>
      </c>
      <c r="O6" s="86" t="n">
        <f aca="false">O15+O24+O33+O42+O51+O60+O69+O78+O87</f>
        <v>25.1151</v>
      </c>
      <c r="P6" s="86" t="n">
        <f aca="false">P15+P24+P33+P42+P51+P60+P69+P78+P87</f>
        <v>20.1451</v>
      </c>
      <c r="Q6" s="86" t="n">
        <f aca="false">Q15+Q24+Q33+Q42+Q51+Q60+Q69+Q78+Q87</f>
        <v>14.4794</v>
      </c>
      <c r="R6" s="86" t="n">
        <f aca="false">R15+R24+R33+R42+R51+R60+R69+R78+R87</f>
        <v>9.0921</v>
      </c>
      <c r="S6" s="86" t="n">
        <f aca="false">S15+S24+S33+S42+S51+S60+S69+S78+S87</f>
        <v>5.0314</v>
      </c>
      <c r="T6" s="86" t="n">
        <f aca="false">T15+T24+T33+T42+T51+T60+T69+T78+T87</f>
        <v>2.9521</v>
      </c>
      <c r="U6" s="86" t="n">
        <f aca="false">U15+U24+U33+U42+U51+U60+U69+U78+U87</f>
        <v>2.0938</v>
      </c>
      <c r="V6" s="86" t="n">
        <f aca="false">V15+V24+V33+V42+V51+V60+V69+V78+V87</f>
        <v>1.1154</v>
      </c>
      <c r="W6" s="86" t="n">
        <f aca="false">W15+W24+W33+W42+W51+W60+W69+W78+W87</f>
        <v>0</v>
      </c>
      <c r="X6" s="86" t="n">
        <f aca="false">X15+X24+X33+X42+X51+X60+X69+X78+X87</f>
        <v>0</v>
      </c>
      <c r="Y6" s="86" t="n">
        <f aca="false">Y15+Y24+Y33+Y42+Y51+Y60+Y69+Y78+Y87</f>
        <v>0</v>
      </c>
    </row>
    <row r="7" customFormat="false" ht="15" hidden="false" customHeight="true" outlineLevel="0" collapsed="false">
      <c r="A7" s="82" t="s">
        <v>197</v>
      </c>
      <c r="C7" s="86" t="n">
        <f aca="false">C16+C25+C34+C43+C52+C61+C70+C79+C88</f>
        <v>22.2806</v>
      </c>
      <c r="D7" s="86" t="n">
        <f aca="false">D16+D25+D34+D43+D52+D61+D70+D79+D88</f>
        <v>26.7805</v>
      </c>
      <c r="E7" s="86" t="n">
        <f aca="false">E16+E25+E34+E43+E52+E61+E70+E79+E88</f>
        <v>31.9102</v>
      </c>
      <c r="F7" s="86" t="n">
        <f aca="false">F16+F25+F34+F43+F52+F61+F70+F79+F88</f>
        <v>37.7584</v>
      </c>
      <c r="G7" s="86" t="n">
        <f aca="false">G16+G25+G34+G43+G52+G61+G70+G79+G88</f>
        <v>44.4254</v>
      </c>
      <c r="H7" s="86" t="n">
        <f aca="false">H16+H25+H34+H43+H52+H61+H70+H79+H88</f>
        <v>51.1572</v>
      </c>
      <c r="I7" s="86" t="n">
        <f aca="false">I16+I25+I34+I43+I52+I61+I70+I79+I88</f>
        <v>37.3609</v>
      </c>
      <c r="J7" s="86" t="n">
        <f aca="false">J16+J25+J34+J43+J52+J61+J70+J79+J88</f>
        <v>38.3157</v>
      </c>
      <c r="K7" s="86" t="n">
        <f aca="false">K16+K25+K34+K43+K52+K61+K70+K79+K88</f>
        <v>35.6495</v>
      </c>
      <c r="L7" s="86" t="n">
        <f aca="false">L16+L25+L34+L43+L52+L61+L70+L79+L88</f>
        <v>30.9297</v>
      </c>
      <c r="M7" s="86" t="n">
        <f aca="false">M16+M25+M34+M43+M52+M61+M70+M79+M88</f>
        <v>25.5491</v>
      </c>
      <c r="N7" s="86" t="n">
        <f aca="false">N16+N25+N34+N43+N52+N61+N70+N79+N88</f>
        <v>21.3209</v>
      </c>
      <c r="O7" s="86" t="n">
        <f aca="false">O16+O25+O34+O43+O52+O61+O70+O79+O88</f>
        <v>15.3633</v>
      </c>
      <c r="P7" s="86" t="n">
        <f aca="false">P16+P25+P34+P43+P52+P61+P70+P79+P88</f>
        <v>11.6542</v>
      </c>
      <c r="Q7" s="86" t="n">
        <f aca="false">Q16+Q25+Q34+Q43+Q52+Q61+Q70+Q79+Q88</f>
        <v>7.4256</v>
      </c>
      <c r="R7" s="86" t="n">
        <f aca="false">R16+R25+R34+R43+R52+R61+R70+R79+R88</f>
        <v>5.8431</v>
      </c>
      <c r="S7" s="86" t="n">
        <f aca="false">S16+S25+S34+S43+S52+S61+S70+S79+S88</f>
        <v>4.0392</v>
      </c>
      <c r="T7" s="86" t="n">
        <f aca="false">T16+T25+T34+T43+T52+T61+T70+T79+T88</f>
        <v>3.6627</v>
      </c>
      <c r="U7" s="86" t="n">
        <f aca="false">U16+U25+U34+U43+U52+U61+U70+U79+U88</f>
        <v>3.2336</v>
      </c>
      <c r="V7" s="86" t="n">
        <f aca="false">V16+V25+V34+V43+V52+V61+V70+V79+V88</f>
        <v>2.7444</v>
      </c>
      <c r="W7" s="86" t="n">
        <f aca="false">W16+W25+W34+W43+W52+W61+W70+W79+W88</f>
        <v>2.1867</v>
      </c>
      <c r="X7" s="86" t="n">
        <f aca="false">X16+X25+X34+X43+X52+X61+X70+X79+X88</f>
        <v>1.551</v>
      </c>
      <c r="Y7" s="86" t="n">
        <f aca="false">Y16+Y25+Y34+Y43+Y52+Y61+Y70+Y79+Y88</f>
        <v>0.8262</v>
      </c>
    </row>
    <row r="8" customFormat="false" ht="15" hidden="false" customHeight="true" outlineLevel="0" collapsed="false">
      <c r="A8" s="82" t="s">
        <v>198</v>
      </c>
      <c r="C8" s="86" t="n">
        <f aca="false">C17+C26+C35+C44+C53+C62+C71+C80+C89</f>
        <v>13.7024</v>
      </c>
      <c r="D8" s="86" t="n">
        <f aca="false">D17+D26+D35+D44+D53+D62+D71+D80+D89</f>
        <v>16.783</v>
      </c>
      <c r="E8" s="86" t="n">
        <f aca="false">E17+E26+E35+E44+E53+E62+E71+E80+E89</f>
        <v>20.2952</v>
      </c>
      <c r="F8" s="86" t="n">
        <f aca="false">F17+F26+F35+F44+F53+F62+F71+F80+F89</f>
        <v>24.2988</v>
      </c>
      <c r="G8" s="86" t="n">
        <f aca="false">G17+G26+G35+G44+G53+G62+G71+G80+G89</f>
        <v>28.8632</v>
      </c>
      <c r="H8" s="86" t="n">
        <f aca="false">H17+H26+H35+H44+H53+H62+H71+H80+H89</f>
        <v>33.5065</v>
      </c>
      <c r="I8" s="86" t="n">
        <f aca="false">I17+I26+I35+I44+I53+I62+I71+I80+I89</f>
        <v>25.7437</v>
      </c>
      <c r="J8" s="86" t="n">
        <f aca="false">J17+J26+J35+J44+J53+J62+J71+J80+J89</f>
        <v>26.5834</v>
      </c>
      <c r="K8" s="86" t="n">
        <f aca="false">K17+K26+K35+K44+K53+K62+K71+K80+K89</f>
        <v>24.9343</v>
      </c>
      <c r="L8" s="86" t="n">
        <f aca="false">L17+L26+L35+L44+L53+L62+L71+L80+L89</f>
        <v>21.8415</v>
      </c>
      <c r="M8" s="86" t="n">
        <f aca="false">M17+M26+M35+M44+M53+M62+M71+M80+M89</f>
        <v>18.3154</v>
      </c>
      <c r="N8" s="86" t="n">
        <f aca="false">N17+N26+N35+N44+N53+N62+N71+N80+N89</f>
        <v>15.5254</v>
      </c>
      <c r="O8" s="86" t="n">
        <f aca="false">O17+O26+O35+O44+O53+O62+O71+O80+O89</f>
        <v>11.4138</v>
      </c>
      <c r="P8" s="86" t="n">
        <f aca="false">P17+P26+P35+P44+P53+P62+P71+P80+P89</f>
        <v>8.795</v>
      </c>
      <c r="Q8" s="86" t="n">
        <f aca="false">Q17+Q26+Q35+Q44+Q53+Q62+Q71+Q80+Q89</f>
        <v>5.8095</v>
      </c>
      <c r="R8" s="86" t="n">
        <f aca="false">R17+R26+R35+R44+R53+R62+R71+R80+R89</f>
        <v>4.6392</v>
      </c>
      <c r="S8" s="86" t="n">
        <f aca="false">S17+S26+S35+S44+S53+S62+S71+S80+S89</f>
        <v>3.3049</v>
      </c>
      <c r="T8" s="86" t="n">
        <f aca="false">T17+T26+T35+T44+T53+T62+T71+T80+T89</f>
        <v>2.9969</v>
      </c>
      <c r="U8" s="86" t="n">
        <f aca="false">U17+U26+U35+U44+U53+U62+U71+U80+U89</f>
        <v>2.6458</v>
      </c>
      <c r="V8" s="86" t="n">
        <f aca="false">V17+V26+V35+V44+V53+V62+V71+V80+V89</f>
        <v>2.2455</v>
      </c>
      <c r="W8" s="86" t="n">
        <f aca="false">W17+W26+W35+W44+W53+W62+W71+W80+W89</f>
        <v>1.7892</v>
      </c>
      <c r="X8" s="86" t="n">
        <f aca="false">X17+X26+X35+X44+X53+X62+X71+X80+X89</f>
        <v>1.269</v>
      </c>
      <c r="Y8" s="86" t="n">
        <f aca="false">Y17+Y26+Y35+Y44+Y53+Y62+Y71+Y80+Y89</f>
        <v>0.676</v>
      </c>
    </row>
    <row r="9" customFormat="false" ht="15" hidden="false" customHeight="true" outlineLevel="0" collapsed="false">
      <c r="A9" s="82" t="s">
        <v>199</v>
      </c>
      <c r="C9" s="86" t="n">
        <f aca="false">C18+C27+C36+C45+C54+C63+C72+C81+C90</f>
        <v>5.3614</v>
      </c>
      <c r="D9" s="86" t="n">
        <f aca="false">D18+D27+D36+D45+D54+D63+D72+D81+D90</f>
        <v>6.2065</v>
      </c>
      <c r="E9" s="86" t="n">
        <f aca="false">E18+E27+E36+E45+E54+E63+E72+E81+E90</f>
        <v>7.17</v>
      </c>
      <c r="F9" s="86" t="n">
        <f aca="false">F18+F27+F36+F45+F54+F63+F72+F81+F90</f>
        <v>8.2683</v>
      </c>
      <c r="G9" s="86" t="n">
        <f aca="false">G18+G27+G36+G45+G54+G63+G72+G81+G90</f>
        <v>9.5206</v>
      </c>
      <c r="H9" s="86" t="n">
        <f aca="false">H18+H27+H36+H45+H54+H63+H72+H81+H90</f>
        <v>10.8307</v>
      </c>
      <c r="I9" s="86" t="n">
        <f aca="false">I18+I27+I36+I45+I54+I63+I72+I81+I90</f>
        <v>7.1971</v>
      </c>
      <c r="J9" s="86" t="n">
        <f aca="false">J18+J27+J36+J45+J54+J63+J72+J81+J90</f>
        <v>7.4557</v>
      </c>
      <c r="K9" s="86" t="n">
        <f aca="false">K18+K27+K36+K45+K54+K63+K72+K81+K90</f>
        <v>6.9855</v>
      </c>
      <c r="L9" s="86" t="n">
        <f aca="false">L18+L27+L36+L45+L54+L63+L72+L81+L90</f>
        <v>6.1918</v>
      </c>
      <c r="M9" s="86" t="n">
        <f aca="false">M18+M27+M36+M45+M54+M63+M72+M81+M90</f>
        <v>5.2866</v>
      </c>
      <c r="N9" s="86" t="n">
        <f aca="false">N18+N27+N36+N45+N54+N63+N72+N81+N90</f>
        <v>4.5123</v>
      </c>
      <c r="O9" s="86" t="n">
        <f aca="false">O18+O27+O36+O45+O54+O63+O72+O81+O90</f>
        <v>3.3123</v>
      </c>
      <c r="P9" s="86" t="n">
        <f aca="false">P18+P27+P36+P45+P54+P63+P72+P81+P90</f>
        <v>2.5699</v>
      </c>
      <c r="Q9" s="86" t="n">
        <f aca="false">Q18+Q27+Q36+Q45+Q54+Q63+Q72+Q81+Q90</f>
        <v>1.7237</v>
      </c>
      <c r="R9" s="86" t="n">
        <f aca="false">R18+R27+R36+R45+R54+R63+R72+R81+R90</f>
        <v>1.4446</v>
      </c>
      <c r="S9" s="86" t="n">
        <f aca="false">S18+S27+S36+S45+S54+S63+S72+S81+S90</f>
        <v>1.1262</v>
      </c>
      <c r="T9" s="86" t="n">
        <f aca="false">T18+T27+T36+T45+T54+T63+T72+T81+T90</f>
        <v>1.0212</v>
      </c>
      <c r="U9" s="86" t="n">
        <f aca="false">U18+U27+U36+U45+U54+U63+U72+U81+U90</f>
        <v>0.9016</v>
      </c>
      <c r="V9" s="86" t="n">
        <f aca="false">V18+V27+V36+V45+V54+V63+V72+V81+V90</f>
        <v>0.7652</v>
      </c>
      <c r="W9" s="86" t="n">
        <f aca="false">W18+W27+W36+W45+W54+W63+W72+W81+W90</f>
        <v>0.6097</v>
      </c>
      <c r="X9" s="86" t="n">
        <f aca="false">X18+X27+X36+X45+X54+X63+X72+X81+X90</f>
        <v>0.4324</v>
      </c>
      <c r="Y9" s="86" t="n">
        <f aca="false">Y18+Y27+Y36+Y45+Y54+Y63+Y72+Y81+Y90</f>
        <v>0.2304</v>
      </c>
    </row>
    <row r="10" customFormat="false" ht="15" hidden="false" customHeight="true" outlineLevel="0" collapsed="false">
      <c r="A10" s="82" t="s">
        <v>200</v>
      </c>
      <c r="C10" s="86" t="n">
        <f aca="false">C19+C28+C37+C46+C55+C64+C73+C82</f>
        <v>0.0422</v>
      </c>
      <c r="D10" s="86" t="n">
        <f aca="false">D19+D28+D37+D46+D55+D64+D73+D82</f>
        <v>0.0902</v>
      </c>
      <c r="E10" s="86" t="n">
        <f aca="false">E19+E28+E37+E46+E55+E64+E73+E82</f>
        <v>0.145</v>
      </c>
      <c r="F10" s="86" t="n">
        <f aca="false">F19+F28+F37+F46+F55+F64+F73+F82</f>
        <v>0.2075</v>
      </c>
      <c r="G10" s="86" t="n">
        <f aca="false">G19+G28+G37+G46+G55+G64+G73+G82</f>
        <v>0.2787</v>
      </c>
      <c r="H10" s="86" t="n">
        <f aca="false">H19+H28+H37+H46+H55+H64+H73+H82</f>
        <v>0.3599</v>
      </c>
      <c r="I10" s="86" t="n">
        <f aca="false">I19+I28+I37+I46+I55+I64+I73+I82</f>
        <v>0.4525</v>
      </c>
      <c r="J10" s="86" t="n">
        <f aca="false">J19+J28+J37+J46+J55+J64+J73+J82</f>
        <v>0.558</v>
      </c>
      <c r="K10" s="86" t="n">
        <f aca="false">K19+K28+K37+K46+K55+K64+K73+K82</f>
        <v>0.6783</v>
      </c>
      <c r="L10" s="86" t="n">
        <f aca="false">L19+L28+L37+L46+L55+L64+L73+L82</f>
        <v>0.8154</v>
      </c>
      <c r="M10" s="86" t="n">
        <f aca="false">M19+M28+M37+M46+M55+M64+M73+M82</f>
        <v>0.9718</v>
      </c>
      <c r="N10" s="86" t="n">
        <f aca="false">N19+N28+N37+N46+N55+N64+N73+N82</f>
        <v>1.15</v>
      </c>
      <c r="O10" s="86" t="n">
        <f aca="false">O19+O28+O37+O46+O55+O64+O73+O82</f>
        <v>1.1078</v>
      </c>
      <c r="P10" s="86" t="n">
        <f aca="false">P19+P28+P37+P46+P55+P64+P73+P82</f>
        <v>1.0598</v>
      </c>
      <c r="Q10" s="86" t="n">
        <f aca="false">Q19+Q28+Q37+Q46+Q55+Q64+Q73+Q82</f>
        <v>1.005</v>
      </c>
      <c r="R10" s="86" t="n">
        <f aca="false">R19+R28+R37+R46+R55+R64+R73+R82</f>
        <v>0.9425</v>
      </c>
      <c r="S10" s="86" t="n">
        <f aca="false">S19+S28+S37+S46+S55+S64+S73+S82</f>
        <v>0.8713</v>
      </c>
      <c r="T10" s="86" t="n">
        <f aca="false">T19+T28+T37+T46+T55+T64+T73+T82</f>
        <v>0.7901</v>
      </c>
      <c r="U10" s="86" t="n">
        <f aca="false">U19+U28+U37+U46+U55+U64+U73+U82</f>
        <v>0.6975</v>
      </c>
      <c r="V10" s="86" t="n">
        <f aca="false">V19+V28+V37+V46+V55+V64+V73+V82</f>
        <v>0.592</v>
      </c>
      <c r="W10" s="86" t="n">
        <f aca="false">W19+W28+W37+W46+W55+W64+W73+W82</f>
        <v>0.4717</v>
      </c>
      <c r="X10" s="86" t="n">
        <f aca="false">X19+X28+X37+X46+X55+X64+X73+X82</f>
        <v>0.3346</v>
      </c>
      <c r="Y10" s="86" t="n">
        <f aca="false">Y19+Y28+Y37+Y46+Y55+Y64+Y73+Y82</f>
        <v>0.1782</v>
      </c>
    </row>
    <row r="11" customFormat="false" ht="15" hidden="false" customHeight="true" outlineLevel="0" collapsed="false">
      <c r="A11" s="82" t="s">
        <v>201</v>
      </c>
      <c r="C11" s="86" t="n">
        <f aca="false">C20+C29+C38+C47+C56+C65+C74+C83</f>
        <v>1.7718</v>
      </c>
      <c r="D11" s="86" t="n">
        <f aca="false">D20+D29+D38+D47+D56+D65+D74+D83</f>
        <v>2.0199</v>
      </c>
      <c r="E11" s="86" t="n">
        <f aca="false">E20+E29+E38+E47+E56+E65+E74+E83</f>
        <v>2.3025</v>
      </c>
      <c r="F11" s="86" t="n">
        <f aca="false">F20+F29+F38+F47+F56+F65+F74+F83</f>
        <v>2.6249</v>
      </c>
      <c r="G11" s="86" t="n">
        <f aca="false">G20+G29+G38+G47+G56+G65+G74+G83</f>
        <v>2.9923</v>
      </c>
      <c r="H11" s="86" t="n">
        <f aca="false">H20+H29+H38+H47+H56+H65+H74+H83</f>
        <v>3.4113</v>
      </c>
      <c r="I11" s="86" t="n">
        <f aca="false">I20+I29+I38+I47+I56+I65+I74+I83</f>
        <v>3.3668</v>
      </c>
      <c r="J11" s="86" t="n">
        <f aca="false">J20+J29+J38+J47+J56+J65+J74+J83</f>
        <v>2.4819</v>
      </c>
      <c r="K11" s="86" t="n">
        <f aca="false">K20+K29+K38+K47+K56+K65+K74+K83</f>
        <v>1.2428</v>
      </c>
      <c r="L11" s="86" t="n">
        <f aca="false">L20+L29+L38+L47+L56+L65+L74+L83</f>
        <v>0.6103</v>
      </c>
      <c r="M11" s="86" t="n">
        <f aca="false">M20+M29+M38+M47+M56+M65+M74+M83</f>
        <v>0.6958</v>
      </c>
      <c r="N11" s="86" t="n">
        <f aca="false">N20+N29+N38+N47+N56+N65+N74+N83</f>
        <v>0.7932</v>
      </c>
      <c r="O11" s="86" t="n">
        <f aca="false">O20+O29+O38+O47+O56+O65+O74+O83</f>
        <v>0</v>
      </c>
      <c r="P11" s="86" t="n">
        <f aca="false">P20+P29+P38+P47+P56+P65+P74+P83</f>
        <v>0</v>
      </c>
      <c r="Q11" s="86" t="n">
        <f aca="false">Q20+Q29+Q38+Q47+Q56+Q65+Q74+Q83</f>
        <v>0</v>
      </c>
      <c r="R11" s="86" t="n">
        <f aca="false">R20+R29+R38+R47+R56+R65+R74+R83</f>
        <v>0</v>
      </c>
      <c r="S11" s="86" t="n">
        <f aca="false">S20+S29+S38+S47+S56+S65+S74+S83</f>
        <v>0</v>
      </c>
      <c r="T11" s="86" t="n">
        <f aca="false">T20+T29+T38+T47+T56+T65+T74+T83</f>
        <v>0</v>
      </c>
      <c r="U11" s="86" t="n">
        <f aca="false">U20+U29+U38+U47+U56+U65+U74+U83</f>
        <v>0</v>
      </c>
      <c r="V11" s="86" t="n">
        <f aca="false">V20+V29+V38+V47+V56+V65+V74+V83</f>
        <v>0</v>
      </c>
      <c r="W11" s="86" t="n">
        <f aca="false">W20+W29+W38+W47+W56+W65+W74+W83</f>
        <v>0</v>
      </c>
      <c r="X11" s="86" t="n">
        <f aca="false">X20+X29+X38+X47+X56+X65+X74+X83</f>
        <v>0</v>
      </c>
      <c r="Y11" s="86" t="n">
        <f aca="false">Y20+Y29+Y38+Y47+Y56+Y65+Y74+Y83</f>
        <v>0</v>
      </c>
    </row>
    <row r="12" customFormat="false" ht="15" hidden="false" customHeight="true" outlineLevel="0" collapsed="false">
      <c r="A12" s="75" t="s">
        <v>202</v>
      </c>
    </row>
    <row r="13" customFormat="false" ht="15" hidden="false" customHeight="true" outlineLevel="0" collapsed="false">
      <c r="A13" s="77" t="s">
        <v>133</v>
      </c>
    </row>
    <row r="14" customFormat="false" ht="15" hidden="false" customHeight="true" outlineLevel="0" collapsed="false">
      <c r="A14" s="11" t="s">
        <v>195</v>
      </c>
      <c r="C14" s="19" t="n">
        <v>3.8736</v>
      </c>
      <c r="D14" s="19" t="n">
        <v>4.4159</v>
      </c>
      <c r="E14" s="19" t="n">
        <v>5.0342</v>
      </c>
      <c r="F14" s="19" t="n">
        <v>5.739</v>
      </c>
      <c r="G14" s="19" t="n">
        <v>6.5424</v>
      </c>
      <c r="H14" s="19" t="n">
        <v>7.4583</v>
      </c>
      <c r="I14" s="19" t="n">
        <v>8.5025</v>
      </c>
      <c r="J14" s="19" t="n">
        <v>9.6929</v>
      </c>
      <c r="K14" s="19" t="n">
        <v>0</v>
      </c>
      <c r="L14" s="19" t="n">
        <v>0</v>
      </c>
      <c r="M14" s="19" t="n">
        <v>0</v>
      </c>
      <c r="N14" s="19" t="n">
        <v>0</v>
      </c>
      <c r="O14" s="19" t="n">
        <v>0</v>
      </c>
      <c r="P14" s="19" t="n">
        <v>0</v>
      </c>
      <c r="Q14" s="19" t="n">
        <v>0</v>
      </c>
      <c r="R14" s="19" t="n">
        <v>0</v>
      </c>
      <c r="S14" s="19" t="n">
        <v>0</v>
      </c>
      <c r="T14" s="19" t="n">
        <v>0</v>
      </c>
      <c r="U14" s="19" t="n">
        <v>0</v>
      </c>
      <c r="V14" s="19" t="n">
        <v>0</v>
      </c>
      <c r="W14" s="19" t="n">
        <v>0</v>
      </c>
      <c r="X14" s="19" t="n">
        <v>0</v>
      </c>
      <c r="Y14" s="19" t="n">
        <v>0</v>
      </c>
    </row>
    <row r="15" customFormat="false" ht="15" hidden="false" customHeight="true" outlineLevel="0" collapsed="false">
      <c r="A15" s="11" t="s">
        <v>196</v>
      </c>
      <c r="C15" s="19" t="n">
        <v>0.3874</v>
      </c>
      <c r="D15" s="19" t="n">
        <v>0.8774</v>
      </c>
      <c r="E15" s="19" t="n">
        <v>1.436</v>
      </c>
      <c r="F15" s="19" t="n">
        <v>2.0728</v>
      </c>
      <c r="G15" s="19" t="n">
        <v>2.7988</v>
      </c>
      <c r="H15" s="19" t="n">
        <v>3.6264</v>
      </c>
      <c r="I15" s="19" t="n">
        <v>4.5699</v>
      </c>
      <c r="J15" s="19" t="n">
        <v>5.6455</v>
      </c>
      <c r="K15" s="19" t="n">
        <v>5.7666</v>
      </c>
      <c r="L15" s="19" t="n">
        <v>5.3308</v>
      </c>
      <c r="M15" s="19" t="n">
        <v>4.834</v>
      </c>
      <c r="N15" s="19" t="n">
        <v>4.2677</v>
      </c>
      <c r="O15" s="19" t="n">
        <v>3.6221</v>
      </c>
      <c r="P15" s="19" t="n">
        <v>2.886</v>
      </c>
      <c r="Q15" s="19" t="n">
        <v>2.047</v>
      </c>
      <c r="R15" s="19" t="n">
        <v>1.0904</v>
      </c>
      <c r="S15" s="19" t="n">
        <v>0</v>
      </c>
      <c r="T15" s="19" t="n">
        <v>0</v>
      </c>
      <c r="U15" s="19" t="n">
        <v>0</v>
      </c>
      <c r="V15" s="19" t="n">
        <v>0</v>
      </c>
      <c r="W15" s="19" t="n">
        <v>0</v>
      </c>
      <c r="X15" s="19" t="n">
        <v>0</v>
      </c>
      <c r="Y15" s="19" t="n">
        <v>0</v>
      </c>
    </row>
    <row r="16" customFormat="false" ht="15" hidden="false" customHeight="true" outlineLevel="0" collapsed="false">
      <c r="A16" s="11" t="s">
        <v>197</v>
      </c>
      <c r="C16" s="19" t="n">
        <v>0.5534</v>
      </c>
      <c r="D16" s="19" t="n">
        <v>1.1842</v>
      </c>
      <c r="E16" s="19" t="n">
        <v>1.9034</v>
      </c>
      <c r="F16" s="19" t="n">
        <v>2.7232</v>
      </c>
      <c r="G16" s="19" t="n">
        <v>3.6579</v>
      </c>
      <c r="H16" s="19" t="n">
        <v>4.7234</v>
      </c>
      <c r="I16" s="19" t="n">
        <v>5.938</v>
      </c>
      <c r="J16" s="19" t="n">
        <v>6.7693</v>
      </c>
      <c r="K16" s="19" t="n">
        <v>6.1385</v>
      </c>
      <c r="L16" s="19" t="n">
        <v>5.4193</v>
      </c>
      <c r="M16" s="19" t="n">
        <v>4.5994</v>
      </c>
      <c r="N16" s="19" t="n">
        <v>3.6648</v>
      </c>
      <c r="O16" s="19" t="n">
        <v>2.5993</v>
      </c>
      <c r="P16" s="19" t="n">
        <v>1.3847</v>
      </c>
      <c r="Q16" s="19" t="n">
        <v>0</v>
      </c>
      <c r="R16" s="19" t="n">
        <v>0</v>
      </c>
      <c r="S16" s="19" t="n">
        <v>0</v>
      </c>
      <c r="T16" s="19" t="n">
        <v>0</v>
      </c>
      <c r="U16" s="19" t="n">
        <v>0</v>
      </c>
      <c r="V16" s="19" t="n">
        <v>0</v>
      </c>
      <c r="W16" s="19" t="n">
        <v>0</v>
      </c>
      <c r="X16" s="19" t="n">
        <v>0</v>
      </c>
      <c r="Y16" s="19" t="n">
        <v>0</v>
      </c>
    </row>
    <row r="17" customFormat="false" ht="15" hidden="false" customHeight="true" outlineLevel="0" collapsed="false">
      <c r="A17" s="11" t="s">
        <v>198</v>
      </c>
      <c r="C17" s="19" t="n">
        <v>0.3285</v>
      </c>
      <c r="D17" s="19" t="n">
        <v>0.7031</v>
      </c>
      <c r="E17" s="19" t="n">
        <v>1.1301</v>
      </c>
      <c r="F17" s="19" t="n">
        <v>1.6168</v>
      </c>
      <c r="G17" s="19" t="n">
        <v>2.1717</v>
      </c>
      <c r="H17" s="19" t="n">
        <v>2.8043</v>
      </c>
      <c r="I17" s="19" t="n">
        <v>3.5254</v>
      </c>
      <c r="J17" s="19" t="n">
        <v>4.019</v>
      </c>
      <c r="K17" s="19" t="n">
        <v>3.6445</v>
      </c>
      <c r="L17" s="19" t="n">
        <v>3.2175</v>
      </c>
      <c r="M17" s="19" t="n">
        <v>2.7307</v>
      </c>
      <c r="N17" s="19" t="n">
        <v>2.1758</v>
      </c>
      <c r="O17" s="19" t="n">
        <v>1.5432</v>
      </c>
      <c r="P17" s="19" t="n">
        <v>0.8221</v>
      </c>
      <c r="Q17" s="19" t="n">
        <v>0</v>
      </c>
      <c r="R17" s="19" t="n">
        <v>0</v>
      </c>
      <c r="S17" s="19" t="n">
        <v>0</v>
      </c>
      <c r="T17" s="19" t="n">
        <v>0</v>
      </c>
      <c r="U17" s="19" t="n">
        <v>0</v>
      </c>
      <c r="V17" s="19" t="n">
        <v>0</v>
      </c>
      <c r="W17" s="19" t="n">
        <v>0</v>
      </c>
      <c r="X17" s="19" t="n">
        <v>0</v>
      </c>
      <c r="Y17" s="19" t="n">
        <v>0</v>
      </c>
    </row>
    <row r="18" customFormat="false" ht="15" hidden="false" customHeight="true" outlineLevel="0" collapsed="false">
      <c r="A18" s="11" t="s">
        <v>199</v>
      </c>
      <c r="C18" s="19" t="n">
        <v>0.0725</v>
      </c>
      <c r="D18" s="19" t="n">
        <v>0.1552</v>
      </c>
      <c r="E18" s="19" t="n">
        <v>0.2494</v>
      </c>
      <c r="F18" s="19" t="n">
        <v>0.3568</v>
      </c>
      <c r="G18" s="19" t="n">
        <v>0.4793</v>
      </c>
      <c r="H18" s="19" t="n">
        <v>0.6189</v>
      </c>
      <c r="I18" s="19" t="n">
        <v>0.7781</v>
      </c>
      <c r="J18" s="19" t="n">
        <v>0.887</v>
      </c>
      <c r="K18" s="19" t="n">
        <v>0.8043</v>
      </c>
      <c r="L18" s="19" t="n">
        <v>0.7101</v>
      </c>
      <c r="M18" s="19" t="n">
        <v>0.6027</v>
      </c>
      <c r="N18" s="19" t="n">
        <v>0.4802</v>
      </c>
      <c r="O18" s="19" t="n">
        <v>0.3406</v>
      </c>
      <c r="P18" s="19" t="n">
        <v>0.1814</v>
      </c>
      <c r="Q18" s="19" t="n">
        <v>0</v>
      </c>
      <c r="R18" s="19" t="n">
        <v>0</v>
      </c>
      <c r="S18" s="19" t="n">
        <v>0</v>
      </c>
      <c r="T18" s="19" t="n">
        <v>0</v>
      </c>
      <c r="U18" s="19" t="n">
        <v>0</v>
      </c>
      <c r="V18" s="19" t="n">
        <v>0</v>
      </c>
      <c r="W18" s="19" t="n">
        <v>0</v>
      </c>
      <c r="X18" s="19" t="n">
        <v>0</v>
      </c>
      <c r="Y18" s="19" t="n">
        <v>0</v>
      </c>
    </row>
    <row r="19" customFormat="false" ht="15" hidden="false" customHeight="true" outlineLevel="0" collapsed="false">
      <c r="A19" s="11" t="s">
        <v>200</v>
      </c>
      <c r="C19" s="19" t="n">
        <v>0</v>
      </c>
      <c r="D19" s="19" t="n">
        <v>0</v>
      </c>
      <c r="E19" s="19" t="n">
        <v>0</v>
      </c>
      <c r="F19" s="19" t="n">
        <v>0</v>
      </c>
      <c r="G19" s="19" t="n">
        <v>0</v>
      </c>
      <c r="H19" s="19" t="n">
        <v>0</v>
      </c>
      <c r="I19" s="19" t="n">
        <v>0</v>
      </c>
      <c r="J19" s="19" t="n">
        <v>0</v>
      </c>
      <c r="K19" s="19" t="n">
        <v>0</v>
      </c>
      <c r="L19" s="19" t="n">
        <v>0</v>
      </c>
      <c r="M19" s="19" t="n">
        <v>0</v>
      </c>
      <c r="N19" s="19" t="n">
        <v>0</v>
      </c>
      <c r="O19" s="19" t="n">
        <v>0</v>
      </c>
      <c r="P19" s="19" t="n">
        <v>0</v>
      </c>
      <c r="Q19" s="19" t="n">
        <v>0</v>
      </c>
      <c r="R19" s="19" t="n">
        <v>0</v>
      </c>
      <c r="S19" s="19" t="n">
        <v>0</v>
      </c>
      <c r="T19" s="19" t="n">
        <v>0</v>
      </c>
      <c r="U19" s="19" t="n">
        <v>0</v>
      </c>
      <c r="V19" s="19" t="n">
        <v>0</v>
      </c>
      <c r="W19" s="19" t="n">
        <v>0</v>
      </c>
      <c r="X19" s="19" t="n">
        <v>0</v>
      </c>
      <c r="Y19" s="19" t="n">
        <v>0</v>
      </c>
    </row>
    <row r="20" customFormat="false" ht="15" hidden="false" customHeight="true" outlineLevel="0" collapsed="false">
      <c r="A20" s="11" t="s">
        <v>201</v>
      </c>
      <c r="C20" s="19" t="n">
        <v>0.2712</v>
      </c>
      <c r="D20" s="19" t="n">
        <v>0.3091</v>
      </c>
      <c r="E20" s="19" t="n">
        <v>0.3524</v>
      </c>
      <c r="F20" s="19" t="n">
        <v>0.4017</v>
      </c>
      <c r="G20" s="19" t="n">
        <v>0.458</v>
      </c>
      <c r="H20" s="19" t="n">
        <v>0.5221</v>
      </c>
      <c r="I20" s="19" t="n">
        <v>0.5952</v>
      </c>
      <c r="J20" s="19" t="n">
        <v>0.6785</v>
      </c>
      <c r="K20" s="19" t="n">
        <v>0</v>
      </c>
      <c r="L20" s="19" t="n">
        <v>0</v>
      </c>
      <c r="M20" s="19" t="n">
        <v>0</v>
      </c>
      <c r="N20" s="19" t="n">
        <v>0</v>
      </c>
      <c r="O20" s="19" t="n">
        <v>0</v>
      </c>
      <c r="P20" s="19" t="n">
        <v>0</v>
      </c>
      <c r="Q20" s="19" t="n">
        <v>0</v>
      </c>
      <c r="R20" s="19" t="n">
        <v>0</v>
      </c>
      <c r="S20" s="19" t="n">
        <v>0</v>
      </c>
      <c r="T20" s="19" t="n">
        <v>0</v>
      </c>
      <c r="U20" s="19" t="n">
        <v>0</v>
      </c>
      <c r="V20" s="19" t="n">
        <v>0</v>
      </c>
      <c r="W20" s="19" t="n">
        <v>0</v>
      </c>
      <c r="X20" s="19" t="n">
        <v>0</v>
      </c>
      <c r="Y20" s="19" t="n">
        <v>0</v>
      </c>
    </row>
    <row r="22" customFormat="false" ht="15" hidden="false" customHeight="true" outlineLevel="0" collapsed="false">
      <c r="A22" s="77" t="s">
        <v>135</v>
      </c>
    </row>
    <row r="23" customFormat="false" ht="15" hidden="false" customHeight="true" outlineLevel="0" collapsed="false">
      <c r="A23" s="11" t="s">
        <v>195</v>
      </c>
      <c r="C23" s="19" t="n">
        <v>2.2595</v>
      </c>
      <c r="D23" s="19" t="n">
        <v>2.5758</v>
      </c>
      <c r="E23" s="19" t="n">
        <v>2.9364</v>
      </c>
      <c r="F23" s="19" t="n">
        <v>3.3475</v>
      </c>
      <c r="G23" s="19" t="n">
        <v>3.8161</v>
      </c>
      <c r="H23" s="19" t="n">
        <v>4.3504</v>
      </c>
      <c r="I23" s="19" t="n">
        <v>0</v>
      </c>
      <c r="J23" s="19" t="n">
        <v>0</v>
      </c>
      <c r="K23" s="19" t="n">
        <v>0</v>
      </c>
      <c r="L23" s="19" t="n">
        <v>0</v>
      </c>
      <c r="M23" s="19" t="n">
        <v>0</v>
      </c>
      <c r="N23" s="19" t="n">
        <v>0</v>
      </c>
      <c r="O23" s="19" t="n">
        <v>0</v>
      </c>
      <c r="P23" s="19" t="n">
        <v>0</v>
      </c>
      <c r="Q23" s="19" t="n">
        <v>0</v>
      </c>
      <c r="R23" s="19" t="n">
        <v>0</v>
      </c>
      <c r="S23" s="19" t="n">
        <v>0</v>
      </c>
      <c r="T23" s="19" t="n">
        <v>0</v>
      </c>
      <c r="U23" s="19" t="n">
        <v>0</v>
      </c>
      <c r="V23" s="19" t="n">
        <v>0</v>
      </c>
      <c r="W23" s="19" t="n">
        <v>0</v>
      </c>
      <c r="X23" s="19" t="n">
        <v>0</v>
      </c>
      <c r="Y23" s="19" t="n">
        <v>0</v>
      </c>
    </row>
    <row r="24" customFormat="false" ht="15" hidden="false" customHeight="true" outlineLevel="0" collapsed="false">
      <c r="A24" s="11" t="s">
        <v>196</v>
      </c>
      <c r="C24" s="19" t="n">
        <v>0.2259</v>
      </c>
      <c r="D24" s="19" t="n">
        <v>0.5118</v>
      </c>
      <c r="E24" s="19" t="n">
        <v>0.8376</v>
      </c>
      <c r="F24" s="19" t="n">
        <v>1.2091</v>
      </c>
      <c r="G24" s="19" t="n">
        <v>1.6325</v>
      </c>
      <c r="H24" s="19" t="n">
        <v>2.1153</v>
      </c>
      <c r="I24" s="19" t="n">
        <v>2.1696</v>
      </c>
      <c r="J24" s="19" t="n">
        <v>2.1696</v>
      </c>
      <c r="K24" s="19" t="n">
        <v>2.1696</v>
      </c>
      <c r="L24" s="19" t="n">
        <v>1.9155</v>
      </c>
      <c r="M24" s="19" t="n">
        <v>1.6257</v>
      </c>
      <c r="N24" s="19" t="n">
        <v>1.2953</v>
      </c>
      <c r="O24" s="19" t="n">
        <v>0.9187</v>
      </c>
      <c r="P24" s="19" t="n">
        <v>0.4894</v>
      </c>
      <c r="Q24" s="19" t="n">
        <v>0</v>
      </c>
      <c r="R24" s="19" t="n">
        <v>0</v>
      </c>
      <c r="S24" s="19" t="n">
        <v>0</v>
      </c>
      <c r="T24" s="19" t="n">
        <v>0</v>
      </c>
      <c r="U24" s="19" t="n">
        <v>0</v>
      </c>
      <c r="V24" s="19" t="n">
        <v>0</v>
      </c>
      <c r="W24" s="19" t="n">
        <v>0</v>
      </c>
      <c r="X24" s="19" t="n">
        <v>0</v>
      </c>
      <c r="Y24" s="19" t="n">
        <v>0</v>
      </c>
    </row>
    <row r="25" customFormat="false" ht="15" hidden="false" customHeight="true" outlineLevel="0" collapsed="false">
      <c r="A25" s="11" t="s">
        <v>197</v>
      </c>
      <c r="C25" s="19" t="n">
        <v>0.4519</v>
      </c>
      <c r="D25" s="19" t="n">
        <v>0.9671</v>
      </c>
      <c r="E25" s="19" t="n">
        <v>1.5543</v>
      </c>
      <c r="F25" s="19" t="n">
        <v>2.2238</v>
      </c>
      <c r="G25" s="19" t="n">
        <v>2.9871</v>
      </c>
      <c r="H25" s="19" t="n">
        <v>3.4053</v>
      </c>
      <c r="I25" s="19" t="n">
        <v>2.8901</v>
      </c>
      <c r="J25" s="19" t="n">
        <v>2.3028</v>
      </c>
      <c r="K25" s="19" t="n">
        <v>1.6333</v>
      </c>
      <c r="L25" s="19" t="n">
        <v>0.8701</v>
      </c>
      <c r="M25" s="19" t="n">
        <v>0</v>
      </c>
      <c r="N25" s="19" t="n">
        <v>0</v>
      </c>
      <c r="O25" s="19" t="n">
        <v>0</v>
      </c>
      <c r="P25" s="19" t="n">
        <v>0</v>
      </c>
      <c r="Q25" s="19" t="n">
        <v>0</v>
      </c>
      <c r="R25" s="19" t="n">
        <v>0</v>
      </c>
      <c r="S25" s="19" t="n">
        <v>0</v>
      </c>
      <c r="T25" s="19" t="n">
        <v>0</v>
      </c>
      <c r="U25" s="19" t="n">
        <v>0</v>
      </c>
      <c r="V25" s="19" t="n">
        <v>0</v>
      </c>
      <c r="W25" s="19" t="n">
        <v>0</v>
      </c>
      <c r="X25" s="19" t="n">
        <v>0</v>
      </c>
      <c r="Y25" s="19" t="n">
        <v>0</v>
      </c>
    </row>
    <row r="26" customFormat="false" ht="15" hidden="false" customHeight="true" outlineLevel="0" collapsed="false">
      <c r="A26" s="11" t="s">
        <v>198</v>
      </c>
      <c r="C26" s="19" t="n">
        <v>0.2861</v>
      </c>
      <c r="D26" s="19" t="n">
        <v>0.6123</v>
      </c>
      <c r="E26" s="19" t="n">
        <v>0.9842</v>
      </c>
      <c r="F26" s="19" t="n">
        <v>1.4081</v>
      </c>
      <c r="G26" s="19" t="n">
        <v>1.8914</v>
      </c>
      <c r="H26" s="19" t="n">
        <v>2.1562</v>
      </c>
      <c r="I26" s="19" t="n">
        <v>1.83</v>
      </c>
      <c r="J26" s="19" t="n">
        <v>1.4581</v>
      </c>
      <c r="K26" s="19" t="n">
        <v>1.0342</v>
      </c>
      <c r="L26" s="19" t="n">
        <v>0.5509</v>
      </c>
      <c r="M26" s="19" t="n">
        <v>0</v>
      </c>
      <c r="N26" s="19" t="n">
        <v>0</v>
      </c>
      <c r="O26" s="19" t="n">
        <v>0</v>
      </c>
      <c r="P26" s="19" t="n">
        <v>0</v>
      </c>
      <c r="Q26" s="19" t="n">
        <v>0</v>
      </c>
      <c r="R26" s="19" t="n">
        <v>0</v>
      </c>
      <c r="S26" s="19" t="n">
        <v>0</v>
      </c>
      <c r="T26" s="19" t="n">
        <v>0</v>
      </c>
      <c r="U26" s="19" t="n">
        <v>0</v>
      </c>
      <c r="V26" s="19" t="n">
        <v>0</v>
      </c>
      <c r="W26" s="19" t="n">
        <v>0</v>
      </c>
      <c r="X26" s="19" t="n">
        <v>0</v>
      </c>
      <c r="Y26" s="19" t="n">
        <v>0</v>
      </c>
    </row>
    <row r="27" customFormat="false" ht="15" hidden="false" customHeight="true" outlineLevel="0" collapsed="false">
      <c r="A27" s="11" t="s">
        <v>199</v>
      </c>
      <c r="C27" s="19" t="n">
        <v>0.0553</v>
      </c>
      <c r="D27" s="19" t="n">
        <v>0.1182</v>
      </c>
      <c r="E27" s="19" t="n">
        <v>0.19</v>
      </c>
      <c r="F27" s="19" t="n">
        <v>0.2719</v>
      </c>
      <c r="G27" s="19" t="n">
        <v>0.3652</v>
      </c>
      <c r="H27" s="19" t="n">
        <v>0.4164</v>
      </c>
      <c r="I27" s="19" t="n">
        <v>0.3534</v>
      </c>
      <c r="J27" s="19" t="n">
        <v>0.2816</v>
      </c>
      <c r="K27" s="19" t="n">
        <v>0.1997</v>
      </c>
      <c r="L27" s="19" t="n">
        <v>0.1064</v>
      </c>
      <c r="M27" s="19" t="n">
        <v>0</v>
      </c>
      <c r="N27" s="19" t="n">
        <v>0</v>
      </c>
      <c r="O27" s="19" t="n">
        <v>0</v>
      </c>
      <c r="P27" s="19" t="n">
        <v>0</v>
      </c>
      <c r="Q27" s="19" t="n">
        <v>0</v>
      </c>
      <c r="R27" s="19" t="n">
        <v>0</v>
      </c>
      <c r="S27" s="19" t="n">
        <v>0</v>
      </c>
      <c r="T27" s="19" t="n">
        <v>0</v>
      </c>
      <c r="U27" s="19" t="n">
        <v>0</v>
      </c>
      <c r="V27" s="19" t="n">
        <v>0</v>
      </c>
      <c r="W27" s="19" t="n">
        <v>0</v>
      </c>
      <c r="X27" s="19" t="n">
        <v>0</v>
      </c>
      <c r="Y27" s="19" t="n">
        <v>0</v>
      </c>
    </row>
    <row r="28" customFormat="false" ht="15" hidden="false" customHeight="true" outlineLevel="0" collapsed="false">
      <c r="A28" s="11" t="s">
        <v>200</v>
      </c>
      <c r="C28" s="19" t="n">
        <v>0</v>
      </c>
      <c r="D28" s="19" t="n">
        <v>0</v>
      </c>
      <c r="E28" s="19" t="n">
        <v>0</v>
      </c>
      <c r="F28" s="19" t="n">
        <v>0</v>
      </c>
      <c r="G28" s="19" t="n">
        <v>0</v>
      </c>
      <c r="H28" s="19" t="n">
        <v>0</v>
      </c>
      <c r="I28" s="19" t="n">
        <v>0</v>
      </c>
      <c r="J28" s="19" t="n">
        <v>0</v>
      </c>
      <c r="K28" s="19" t="n">
        <v>0</v>
      </c>
      <c r="L28" s="19" t="n">
        <v>0</v>
      </c>
      <c r="M28" s="19" t="n">
        <v>0</v>
      </c>
      <c r="N28" s="19" t="n">
        <v>0</v>
      </c>
      <c r="O28" s="19" t="n">
        <v>0</v>
      </c>
      <c r="P28" s="19" t="n">
        <v>0</v>
      </c>
      <c r="Q28" s="19" t="n">
        <v>0</v>
      </c>
      <c r="R28" s="19" t="n">
        <v>0</v>
      </c>
      <c r="S28" s="19" t="n">
        <v>0</v>
      </c>
      <c r="T28" s="19" t="n">
        <v>0</v>
      </c>
      <c r="U28" s="19" t="n">
        <v>0</v>
      </c>
      <c r="V28" s="19" t="n">
        <v>0</v>
      </c>
      <c r="W28" s="19" t="n">
        <v>0</v>
      </c>
      <c r="X28" s="19" t="n">
        <v>0</v>
      </c>
      <c r="Y28" s="19" t="n">
        <v>0</v>
      </c>
    </row>
    <row r="29" customFormat="false" ht="15" hidden="false" customHeight="true" outlineLevel="0" collapsed="false">
      <c r="A29" s="11" t="s">
        <v>201</v>
      </c>
      <c r="C29" s="19" t="n">
        <v>0.113</v>
      </c>
      <c r="D29" s="19" t="n">
        <v>0.1288</v>
      </c>
      <c r="E29" s="19" t="n">
        <v>0.1468</v>
      </c>
      <c r="F29" s="19" t="n">
        <v>0.1674</v>
      </c>
      <c r="G29" s="19" t="n">
        <v>0.1908</v>
      </c>
      <c r="H29" s="19" t="n">
        <v>0.2175</v>
      </c>
      <c r="I29" s="19" t="n">
        <v>0</v>
      </c>
      <c r="J29" s="19" t="n">
        <v>0</v>
      </c>
      <c r="K29" s="19" t="n">
        <v>0</v>
      </c>
      <c r="L29" s="19" t="n">
        <v>0</v>
      </c>
      <c r="M29" s="19" t="n">
        <v>0</v>
      </c>
      <c r="N29" s="19" t="n">
        <v>0</v>
      </c>
      <c r="O29" s="19" t="n">
        <v>0</v>
      </c>
      <c r="P29" s="19" t="n">
        <v>0</v>
      </c>
      <c r="Q29" s="19" t="n">
        <v>0</v>
      </c>
      <c r="R29" s="19" t="n">
        <v>0</v>
      </c>
      <c r="S29" s="19" t="n">
        <v>0</v>
      </c>
      <c r="T29" s="19" t="n">
        <v>0</v>
      </c>
      <c r="U29" s="19" t="n">
        <v>0</v>
      </c>
      <c r="V29" s="19" t="n">
        <v>0</v>
      </c>
      <c r="W29" s="19" t="n">
        <v>0</v>
      </c>
      <c r="X29" s="19" t="n">
        <v>0</v>
      </c>
      <c r="Y29" s="19" t="n">
        <v>0</v>
      </c>
    </row>
    <row r="31" customFormat="false" ht="15" hidden="false" customHeight="true" outlineLevel="0" collapsed="false">
      <c r="A31" s="77" t="s">
        <v>137</v>
      </c>
    </row>
    <row r="32" customFormat="false" ht="15" hidden="false" customHeight="true" outlineLevel="0" collapsed="false">
      <c r="A32" s="11" t="s">
        <v>195</v>
      </c>
      <c r="C32" s="19" t="n">
        <v>4.1331</v>
      </c>
      <c r="D32" s="19" t="n">
        <v>4.7118</v>
      </c>
      <c r="E32" s="19" t="n">
        <v>5.3714</v>
      </c>
      <c r="F32" s="19" t="n">
        <v>6.1234</v>
      </c>
      <c r="G32" s="19" t="n">
        <v>6.9807</v>
      </c>
      <c r="H32" s="19" t="n">
        <v>7.958</v>
      </c>
      <c r="I32" s="19" t="n">
        <v>9.0722</v>
      </c>
      <c r="J32" s="19" t="n">
        <v>10.3423</v>
      </c>
      <c r="K32" s="19" t="n">
        <v>11.7902</v>
      </c>
      <c r="L32" s="19" t="n">
        <v>0</v>
      </c>
      <c r="M32" s="19" t="n">
        <v>0</v>
      </c>
      <c r="N32" s="19" t="n">
        <v>0</v>
      </c>
      <c r="O32" s="19" t="n">
        <v>0</v>
      </c>
      <c r="P32" s="19" t="n">
        <v>0</v>
      </c>
      <c r="Q32" s="19" t="n">
        <v>0</v>
      </c>
      <c r="R32" s="19" t="n">
        <v>0</v>
      </c>
      <c r="S32" s="19" t="n">
        <v>0</v>
      </c>
      <c r="T32" s="19" t="n">
        <v>0</v>
      </c>
      <c r="U32" s="19" t="n">
        <v>0</v>
      </c>
      <c r="V32" s="19" t="n">
        <v>0</v>
      </c>
      <c r="W32" s="19" t="n">
        <v>0</v>
      </c>
      <c r="X32" s="19" t="n">
        <v>0</v>
      </c>
      <c r="Y32" s="19" t="n">
        <v>0</v>
      </c>
    </row>
    <row r="33" customFormat="false" ht="15" hidden="false" customHeight="true" outlineLevel="0" collapsed="false">
      <c r="A33" s="11" t="s">
        <v>196</v>
      </c>
      <c r="C33" s="19" t="n">
        <v>0.4133</v>
      </c>
      <c r="D33" s="19" t="n">
        <v>0.9362</v>
      </c>
      <c r="E33" s="19" t="n">
        <v>1.5322</v>
      </c>
      <c r="F33" s="19" t="n">
        <v>2.2117</v>
      </c>
      <c r="G33" s="19" t="n">
        <v>2.9863</v>
      </c>
      <c r="H33" s="19" t="n">
        <v>3.8694</v>
      </c>
      <c r="I33" s="19" t="n">
        <v>4.8761</v>
      </c>
      <c r="J33" s="19" t="n">
        <v>6.0237</v>
      </c>
      <c r="K33" s="19" t="n">
        <v>7.332</v>
      </c>
      <c r="L33" s="19" t="n">
        <v>7.0144</v>
      </c>
      <c r="M33" s="19" t="n">
        <v>6.4843</v>
      </c>
      <c r="N33" s="19" t="n">
        <v>5.88</v>
      </c>
      <c r="O33" s="19" t="n">
        <v>5.1911</v>
      </c>
      <c r="P33" s="19" t="n">
        <v>4.4058</v>
      </c>
      <c r="Q33" s="19" t="n">
        <v>3.5105</v>
      </c>
      <c r="R33" s="19" t="n">
        <v>2.4899</v>
      </c>
      <c r="S33" s="19" t="n">
        <v>1.3264</v>
      </c>
      <c r="T33" s="19" t="n">
        <v>0</v>
      </c>
      <c r="U33" s="19" t="n">
        <v>0</v>
      </c>
      <c r="V33" s="19" t="n">
        <v>0</v>
      </c>
      <c r="W33" s="19" t="n">
        <v>0</v>
      </c>
      <c r="X33" s="19" t="n">
        <v>0</v>
      </c>
      <c r="Y33" s="19" t="n">
        <v>0</v>
      </c>
    </row>
    <row r="34" customFormat="false" ht="15" hidden="false" customHeight="true" outlineLevel="0" collapsed="false">
      <c r="A34" s="11" t="s">
        <v>197</v>
      </c>
      <c r="C34" s="19" t="n">
        <v>0.5166</v>
      </c>
      <c r="D34" s="19" t="n">
        <v>1.1056</v>
      </c>
      <c r="E34" s="19" t="n">
        <v>1.777</v>
      </c>
      <c r="F34" s="19" t="n">
        <v>2.5425</v>
      </c>
      <c r="G34" s="19" t="n">
        <v>3.4151</v>
      </c>
      <c r="H34" s="19" t="n">
        <v>4.4098</v>
      </c>
      <c r="I34" s="19" t="n">
        <v>5.5438</v>
      </c>
      <c r="J34" s="19" t="n">
        <v>6.8366</v>
      </c>
      <c r="K34" s="19" t="n">
        <v>7.7938</v>
      </c>
      <c r="L34" s="19" t="n">
        <v>7.2048</v>
      </c>
      <c r="M34" s="19" t="n">
        <v>6.5333</v>
      </c>
      <c r="N34" s="19" t="n">
        <v>5.7679</v>
      </c>
      <c r="O34" s="19" t="n">
        <v>4.8953</v>
      </c>
      <c r="P34" s="19" t="n">
        <v>3.9006</v>
      </c>
      <c r="Q34" s="19" t="n">
        <v>2.7666</v>
      </c>
      <c r="R34" s="19" t="n">
        <v>1.4738</v>
      </c>
      <c r="S34" s="19" t="n">
        <v>0</v>
      </c>
      <c r="T34" s="19" t="n">
        <v>0</v>
      </c>
      <c r="U34" s="19" t="n">
        <v>0</v>
      </c>
      <c r="V34" s="19" t="n">
        <v>0</v>
      </c>
      <c r="W34" s="19" t="n">
        <v>0</v>
      </c>
      <c r="X34" s="19" t="n">
        <v>0</v>
      </c>
      <c r="Y34" s="19" t="n">
        <v>0</v>
      </c>
    </row>
    <row r="35" customFormat="false" ht="15" hidden="false" customHeight="true" outlineLevel="0" collapsed="false">
      <c r="A35" s="11" t="s">
        <v>198</v>
      </c>
      <c r="C35" s="19" t="n">
        <v>0.373</v>
      </c>
      <c r="D35" s="19" t="n">
        <v>0.7982</v>
      </c>
      <c r="E35" s="19" t="n">
        <v>1.283</v>
      </c>
      <c r="F35" s="19" t="n">
        <v>1.8356</v>
      </c>
      <c r="G35" s="19" t="n">
        <v>2.4657</v>
      </c>
      <c r="H35" s="19" t="n">
        <v>3.1839</v>
      </c>
      <c r="I35" s="19" t="n">
        <v>4.0026</v>
      </c>
      <c r="J35" s="19" t="n">
        <v>4.936</v>
      </c>
      <c r="K35" s="19" t="n">
        <v>5.627</v>
      </c>
      <c r="L35" s="19" t="n">
        <v>5.2018</v>
      </c>
      <c r="M35" s="19" t="n">
        <v>4.717</v>
      </c>
      <c r="N35" s="19" t="n">
        <v>4.1644</v>
      </c>
      <c r="O35" s="19" t="n">
        <v>3.5344</v>
      </c>
      <c r="P35" s="19" t="n">
        <v>2.8162</v>
      </c>
      <c r="Q35" s="19" t="n">
        <v>1.9974</v>
      </c>
      <c r="R35" s="19" t="n">
        <v>1.0641</v>
      </c>
      <c r="S35" s="19" t="n">
        <v>0</v>
      </c>
      <c r="T35" s="19" t="n">
        <v>0</v>
      </c>
      <c r="U35" s="19" t="n">
        <v>0</v>
      </c>
      <c r="V35" s="19" t="n">
        <v>0</v>
      </c>
      <c r="W35" s="19" t="n">
        <v>0</v>
      </c>
      <c r="X35" s="19" t="n">
        <v>0</v>
      </c>
      <c r="Y35" s="19" t="n">
        <v>0</v>
      </c>
    </row>
    <row r="36" customFormat="false" ht="15" hidden="false" customHeight="true" outlineLevel="0" collapsed="false">
      <c r="A36" s="11" t="s">
        <v>199</v>
      </c>
      <c r="C36" s="19" t="n">
        <v>0.0793</v>
      </c>
      <c r="D36" s="19" t="n">
        <v>0.1697</v>
      </c>
      <c r="E36" s="19" t="n">
        <v>0.2728</v>
      </c>
      <c r="F36" s="19" t="n">
        <v>0.3903</v>
      </c>
      <c r="G36" s="19" t="n">
        <v>0.5243</v>
      </c>
      <c r="H36" s="19" t="n">
        <v>0.677</v>
      </c>
      <c r="I36" s="19" t="n">
        <v>0.8511</v>
      </c>
      <c r="J36" s="19" t="n">
        <v>1.0496</v>
      </c>
      <c r="K36" s="19" t="n">
        <v>1.1966</v>
      </c>
      <c r="L36" s="19" t="n">
        <v>1.1061</v>
      </c>
      <c r="M36" s="19" t="n">
        <v>1.003</v>
      </c>
      <c r="N36" s="19" t="n">
        <v>0.8855</v>
      </c>
      <c r="O36" s="19" t="n">
        <v>0.7516</v>
      </c>
      <c r="P36" s="19" t="n">
        <v>0.5988</v>
      </c>
      <c r="Q36" s="19" t="n">
        <v>0.4247</v>
      </c>
      <c r="R36" s="19" t="n">
        <v>0.2263</v>
      </c>
      <c r="S36" s="19" t="n">
        <v>0</v>
      </c>
      <c r="T36" s="19" t="n">
        <v>0</v>
      </c>
      <c r="U36" s="19" t="n">
        <v>0</v>
      </c>
      <c r="V36" s="19" t="n">
        <v>0</v>
      </c>
      <c r="W36" s="19" t="n">
        <v>0</v>
      </c>
      <c r="X36" s="19" t="n">
        <v>0</v>
      </c>
      <c r="Y36" s="19" t="n">
        <v>0</v>
      </c>
    </row>
    <row r="37" customFormat="false" ht="15" hidden="false" customHeight="true" outlineLevel="0" collapsed="false">
      <c r="A37" s="11" t="s">
        <v>200</v>
      </c>
      <c r="C37" s="19" t="n">
        <v>0</v>
      </c>
      <c r="D37" s="19" t="n">
        <v>0</v>
      </c>
      <c r="E37" s="19" t="n">
        <v>0</v>
      </c>
      <c r="F37" s="19" t="n">
        <v>0</v>
      </c>
      <c r="G37" s="19" t="n">
        <v>0</v>
      </c>
      <c r="H37" s="19" t="n">
        <v>0</v>
      </c>
      <c r="I37" s="19" t="n">
        <v>0</v>
      </c>
      <c r="J37" s="19" t="n">
        <v>0</v>
      </c>
      <c r="K37" s="19" t="n">
        <v>0</v>
      </c>
      <c r="L37" s="19" t="n">
        <v>0</v>
      </c>
      <c r="M37" s="19" t="n">
        <v>0</v>
      </c>
      <c r="N37" s="19" t="n">
        <v>0</v>
      </c>
      <c r="O37" s="19" t="n">
        <v>0</v>
      </c>
      <c r="P37" s="19" t="n">
        <v>0</v>
      </c>
      <c r="Q37" s="19" t="n">
        <v>0</v>
      </c>
      <c r="R37" s="19" t="n">
        <v>0</v>
      </c>
      <c r="S37" s="19" t="n">
        <v>0</v>
      </c>
      <c r="T37" s="19" t="n">
        <v>0</v>
      </c>
      <c r="U37" s="19" t="n">
        <v>0</v>
      </c>
      <c r="V37" s="19" t="n">
        <v>0</v>
      </c>
      <c r="W37" s="19" t="n">
        <v>0</v>
      </c>
      <c r="X37" s="19" t="n">
        <v>0</v>
      </c>
      <c r="Y37" s="19" t="n">
        <v>0</v>
      </c>
    </row>
    <row r="38" customFormat="false" ht="15" hidden="false" customHeight="true" outlineLevel="0" collapsed="false">
      <c r="A38" s="11" t="s">
        <v>201</v>
      </c>
      <c r="C38" s="19" t="n">
        <v>0.248</v>
      </c>
      <c r="D38" s="19" t="n">
        <v>0.2827</v>
      </c>
      <c r="E38" s="19" t="n">
        <v>0.3223</v>
      </c>
      <c r="F38" s="19" t="n">
        <v>0.3674</v>
      </c>
      <c r="G38" s="19" t="n">
        <v>0.4188</v>
      </c>
      <c r="H38" s="19" t="n">
        <v>0.4775</v>
      </c>
      <c r="I38" s="19" t="n">
        <v>0.5443</v>
      </c>
      <c r="J38" s="19" t="n">
        <v>0.6205</v>
      </c>
      <c r="K38" s="19" t="n">
        <v>0.7074</v>
      </c>
      <c r="L38" s="19" t="n">
        <v>0</v>
      </c>
      <c r="M38" s="19" t="n">
        <v>0</v>
      </c>
      <c r="N38" s="19" t="n">
        <v>0</v>
      </c>
      <c r="O38" s="19" t="n">
        <v>0</v>
      </c>
      <c r="P38" s="19" t="n">
        <v>0</v>
      </c>
      <c r="Q38" s="19" t="n">
        <v>0</v>
      </c>
      <c r="R38" s="19" t="n">
        <v>0</v>
      </c>
      <c r="S38" s="19" t="n">
        <v>0</v>
      </c>
      <c r="T38" s="19" t="n">
        <v>0</v>
      </c>
      <c r="U38" s="19" t="n">
        <v>0</v>
      </c>
      <c r="V38" s="19" t="n">
        <v>0</v>
      </c>
      <c r="W38" s="19" t="n">
        <v>0</v>
      </c>
      <c r="X38" s="19" t="n">
        <v>0</v>
      </c>
      <c r="Y38" s="19" t="n">
        <v>0</v>
      </c>
    </row>
    <row r="40" customFormat="false" ht="15" hidden="false" customHeight="true" outlineLevel="0" collapsed="false">
      <c r="A40" s="77" t="s">
        <v>139</v>
      </c>
    </row>
    <row r="41" customFormat="false" ht="15" hidden="false" customHeight="true" outlineLevel="0" collapsed="false">
      <c r="A41" s="11" t="s">
        <v>195</v>
      </c>
      <c r="C41" s="19" t="n">
        <v>2.0813</v>
      </c>
      <c r="D41" s="19" t="n">
        <v>2.3726</v>
      </c>
      <c r="E41" s="19" t="n">
        <v>2.7048</v>
      </c>
      <c r="F41" s="19" t="n">
        <v>3.0835</v>
      </c>
      <c r="G41" s="19" t="n">
        <v>3.5151</v>
      </c>
      <c r="H41" s="19" t="n">
        <v>4.0073</v>
      </c>
      <c r="I41" s="19" t="n">
        <v>0</v>
      </c>
      <c r="J41" s="19" t="n">
        <v>0</v>
      </c>
      <c r="K41" s="19" t="n">
        <v>0</v>
      </c>
      <c r="L41" s="19" t="n">
        <v>0</v>
      </c>
      <c r="M41" s="19" t="n">
        <v>0</v>
      </c>
      <c r="N41" s="19" t="n">
        <v>0</v>
      </c>
      <c r="O41" s="19" t="n">
        <v>0</v>
      </c>
      <c r="P41" s="19" t="n">
        <v>0</v>
      </c>
      <c r="Q41" s="19" t="n">
        <v>0</v>
      </c>
      <c r="R41" s="19" t="n">
        <v>0</v>
      </c>
      <c r="S41" s="19" t="n">
        <v>0</v>
      </c>
      <c r="T41" s="19" t="n">
        <v>0</v>
      </c>
      <c r="U41" s="19" t="n">
        <v>0</v>
      </c>
      <c r="V41" s="19" t="n">
        <v>0</v>
      </c>
      <c r="W41" s="19" t="n">
        <v>0</v>
      </c>
      <c r="X41" s="19" t="n">
        <v>0</v>
      </c>
      <c r="Y41" s="19" t="n">
        <v>0</v>
      </c>
    </row>
    <row r="42" customFormat="false" ht="15" hidden="false" customHeight="true" outlineLevel="0" collapsed="false">
      <c r="A42" s="11" t="s">
        <v>196</v>
      </c>
      <c r="C42" s="19" t="n">
        <v>0.2081</v>
      </c>
      <c r="D42" s="19" t="n">
        <v>0.4714</v>
      </c>
      <c r="E42" s="19" t="n">
        <v>0.7715</v>
      </c>
      <c r="F42" s="19" t="n">
        <v>1.1137</v>
      </c>
      <c r="G42" s="19" t="n">
        <v>1.5038</v>
      </c>
      <c r="H42" s="19" t="n">
        <v>1.9484</v>
      </c>
      <c r="I42" s="19" t="n">
        <v>1.9985</v>
      </c>
      <c r="J42" s="19" t="n">
        <v>1.9985</v>
      </c>
      <c r="K42" s="19" t="n">
        <v>1.9985</v>
      </c>
      <c r="L42" s="19" t="n">
        <v>1.7644</v>
      </c>
      <c r="M42" s="19" t="n">
        <v>1.4975</v>
      </c>
      <c r="N42" s="19" t="n">
        <v>1.1932</v>
      </c>
      <c r="O42" s="19" t="n">
        <v>0.8463</v>
      </c>
      <c r="P42" s="19" t="n">
        <v>0.4508</v>
      </c>
      <c r="Q42" s="19" t="n">
        <v>0</v>
      </c>
      <c r="R42" s="19" t="n">
        <v>0</v>
      </c>
      <c r="S42" s="19" t="n">
        <v>0</v>
      </c>
      <c r="T42" s="19" t="n">
        <v>0</v>
      </c>
      <c r="U42" s="19" t="n">
        <v>0</v>
      </c>
      <c r="V42" s="19" t="n">
        <v>0</v>
      </c>
      <c r="W42" s="19" t="n">
        <v>0</v>
      </c>
      <c r="X42" s="19" t="n">
        <v>0</v>
      </c>
      <c r="Y42" s="19" t="n">
        <v>0</v>
      </c>
    </row>
    <row r="43" customFormat="false" ht="15" hidden="false" customHeight="true" outlineLevel="0" collapsed="false">
      <c r="A43" s="11" t="s">
        <v>197</v>
      </c>
      <c r="C43" s="19" t="n">
        <v>0.4163</v>
      </c>
      <c r="D43" s="19" t="n">
        <v>0.8908</v>
      </c>
      <c r="E43" s="19" t="n">
        <v>1.4317</v>
      </c>
      <c r="F43" s="19" t="n">
        <v>2.0484</v>
      </c>
      <c r="G43" s="19" t="n">
        <v>2.7515</v>
      </c>
      <c r="H43" s="19" t="n">
        <v>3.1367</v>
      </c>
      <c r="I43" s="19" t="n">
        <v>2.6621</v>
      </c>
      <c r="J43" s="19" t="n">
        <v>2.1212</v>
      </c>
      <c r="K43" s="19" t="n">
        <v>1.5045</v>
      </c>
      <c r="L43" s="19" t="n">
        <v>0.8015</v>
      </c>
      <c r="M43" s="19" t="n">
        <v>0</v>
      </c>
      <c r="N43" s="19" t="n">
        <v>0</v>
      </c>
      <c r="O43" s="19" t="n">
        <v>0</v>
      </c>
      <c r="P43" s="19" t="n">
        <v>0</v>
      </c>
      <c r="Q43" s="19" t="n">
        <v>0</v>
      </c>
      <c r="R43" s="19" t="n">
        <v>0</v>
      </c>
      <c r="S43" s="19" t="n">
        <v>0</v>
      </c>
      <c r="T43" s="19" t="n">
        <v>0</v>
      </c>
      <c r="U43" s="19" t="n">
        <v>0</v>
      </c>
      <c r="V43" s="19" t="n">
        <v>0</v>
      </c>
      <c r="W43" s="19" t="n">
        <v>0</v>
      </c>
      <c r="X43" s="19" t="n">
        <v>0</v>
      </c>
      <c r="Y43" s="19" t="n">
        <v>0</v>
      </c>
    </row>
    <row r="44" customFormat="false" ht="15" hidden="false" customHeight="true" outlineLevel="0" collapsed="false">
      <c r="A44" s="11" t="s">
        <v>198</v>
      </c>
      <c r="C44" s="19" t="n">
        <v>0.2739</v>
      </c>
      <c r="D44" s="19" t="n">
        <v>0.5861</v>
      </c>
      <c r="E44" s="19" t="n">
        <v>0.9421</v>
      </c>
      <c r="F44" s="19" t="n">
        <v>1.3479</v>
      </c>
      <c r="G44" s="19" t="n">
        <v>1.8105</v>
      </c>
      <c r="H44" s="19" t="n">
        <v>2.064</v>
      </c>
      <c r="I44" s="19" t="n">
        <v>1.7517</v>
      </c>
      <c r="J44" s="19" t="n">
        <v>1.3958</v>
      </c>
      <c r="K44" s="19" t="n">
        <v>0.99</v>
      </c>
      <c r="L44" s="19" t="n">
        <v>0.5274</v>
      </c>
      <c r="M44" s="19" t="n">
        <v>0</v>
      </c>
      <c r="N44" s="19" t="n">
        <v>0</v>
      </c>
      <c r="O44" s="19" t="n">
        <v>0</v>
      </c>
      <c r="P44" s="19" t="n">
        <v>0</v>
      </c>
      <c r="Q44" s="19" t="n">
        <v>0</v>
      </c>
      <c r="R44" s="19" t="n">
        <v>0</v>
      </c>
      <c r="S44" s="19" t="n">
        <v>0</v>
      </c>
      <c r="T44" s="19" t="n">
        <v>0</v>
      </c>
      <c r="U44" s="19" t="n">
        <v>0</v>
      </c>
      <c r="V44" s="19" t="n">
        <v>0</v>
      </c>
      <c r="W44" s="19" t="n">
        <v>0</v>
      </c>
      <c r="X44" s="19" t="n">
        <v>0</v>
      </c>
      <c r="Y44" s="19" t="n">
        <v>0</v>
      </c>
    </row>
    <row r="45" customFormat="false" ht="15" hidden="false" customHeight="true" outlineLevel="0" collapsed="false">
      <c r="A45" s="11" t="s">
        <v>199</v>
      </c>
      <c r="C45" s="19" t="n">
        <v>0.062</v>
      </c>
      <c r="D45" s="19" t="n">
        <v>0.1326</v>
      </c>
      <c r="E45" s="19" t="n">
        <v>0.2131</v>
      </c>
      <c r="F45" s="19" t="n">
        <v>0.3049</v>
      </c>
      <c r="G45" s="19" t="n">
        <v>0.4095</v>
      </c>
      <c r="H45" s="19" t="n">
        <v>0.4668</v>
      </c>
      <c r="I45" s="19" t="n">
        <v>0.3962</v>
      </c>
      <c r="J45" s="19" t="n">
        <v>0.3157</v>
      </c>
      <c r="K45" s="19" t="n">
        <v>0.2239</v>
      </c>
      <c r="L45" s="19" t="n">
        <v>0.1193</v>
      </c>
      <c r="M45" s="19" t="n">
        <v>0</v>
      </c>
      <c r="N45" s="19" t="n">
        <v>0</v>
      </c>
      <c r="O45" s="19" t="n">
        <v>0</v>
      </c>
      <c r="P45" s="19" t="n">
        <v>0</v>
      </c>
      <c r="Q45" s="19" t="n">
        <v>0</v>
      </c>
      <c r="R45" s="19" t="n">
        <v>0</v>
      </c>
      <c r="S45" s="19" t="n">
        <v>0</v>
      </c>
      <c r="T45" s="19" t="n">
        <v>0</v>
      </c>
      <c r="U45" s="19" t="n">
        <v>0</v>
      </c>
      <c r="V45" s="19" t="n">
        <v>0</v>
      </c>
      <c r="W45" s="19" t="n">
        <v>0</v>
      </c>
      <c r="X45" s="19" t="n">
        <v>0</v>
      </c>
      <c r="Y45" s="19" t="n">
        <v>0</v>
      </c>
    </row>
    <row r="46" customFormat="false" ht="15" hidden="false" customHeight="true" outlineLevel="0" collapsed="false">
      <c r="A46" s="11" t="s">
        <v>200</v>
      </c>
      <c r="C46" s="19" t="n">
        <v>0</v>
      </c>
      <c r="D46" s="19" t="n">
        <v>0</v>
      </c>
      <c r="E46" s="19" t="n">
        <v>0</v>
      </c>
      <c r="F46" s="19" t="n">
        <v>0</v>
      </c>
      <c r="G46" s="19" t="n">
        <v>0</v>
      </c>
      <c r="H46" s="19" t="n">
        <v>0</v>
      </c>
      <c r="I46" s="19" t="n">
        <v>0</v>
      </c>
      <c r="J46" s="19" t="n">
        <v>0</v>
      </c>
      <c r="K46" s="19" t="n">
        <v>0</v>
      </c>
      <c r="L46" s="19" t="n">
        <v>0</v>
      </c>
      <c r="M46" s="19" t="n">
        <v>0</v>
      </c>
      <c r="N46" s="19" t="n">
        <v>0</v>
      </c>
      <c r="O46" s="19" t="n">
        <v>0</v>
      </c>
      <c r="P46" s="19" t="n">
        <v>0</v>
      </c>
      <c r="Q46" s="19" t="n">
        <v>0</v>
      </c>
      <c r="R46" s="19" t="n">
        <v>0</v>
      </c>
      <c r="S46" s="19" t="n">
        <v>0</v>
      </c>
      <c r="T46" s="19" t="n">
        <v>0</v>
      </c>
      <c r="U46" s="19" t="n">
        <v>0</v>
      </c>
      <c r="V46" s="19" t="n">
        <v>0</v>
      </c>
      <c r="W46" s="19" t="n">
        <v>0</v>
      </c>
      <c r="X46" s="19" t="n">
        <v>0</v>
      </c>
      <c r="Y46" s="19" t="n">
        <v>0</v>
      </c>
    </row>
    <row r="47" customFormat="false" ht="15" hidden="false" customHeight="true" outlineLevel="0" collapsed="false">
      <c r="A47" s="11" t="s">
        <v>201</v>
      </c>
      <c r="C47" s="19" t="n">
        <v>0.1249</v>
      </c>
      <c r="D47" s="19" t="n">
        <v>0.1424</v>
      </c>
      <c r="E47" s="19" t="n">
        <v>0.1623</v>
      </c>
      <c r="F47" s="19" t="n">
        <v>0.185</v>
      </c>
      <c r="G47" s="19" t="n">
        <v>0.2109</v>
      </c>
      <c r="H47" s="19" t="n">
        <v>0.2404</v>
      </c>
      <c r="I47" s="19" t="n">
        <v>0</v>
      </c>
      <c r="J47" s="19" t="n">
        <v>0</v>
      </c>
      <c r="K47" s="19" t="n">
        <v>0</v>
      </c>
      <c r="L47" s="19" t="n">
        <v>0</v>
      </c>
      <c r="M47" s="19" t="n">
        <v>0</v>
      </c>
      <c r="N47" s="19" t="n">
        <v>0</v>
      </c>
      <c r="O47" s="19" t="n">
        <v>0</v>
      </c>
      <c r="P47" s="19" t="n">
        <v>0</v>
      </c>
      <c r="Q47" s="19" t="n">
        <v>0</v>
      </c>
      <c r="R47" s="19" t="n">
        <v>0</v>
      </c>
      <c r="S47" s="19" t="n">
        <v>0</v>
      </c>
      <c r="T47" s="19" t="n">
        <v>0</v>
      </c>
      <c r="U47" s="19" t="n">
        <v>0</v>
      </c>
      <c r="V47" s="19" t="n">
        <v>0</v>
      </c>
      <c r="W47" s="19" t="n">
        <v>0</v>
      </c>
      <c r="X47" s="19" t="n">
        <v>0</v>
      </c>
      <c r="Y47" s="19" t="n">
        <v>0</v>
      </c>
    </row>
    <row r="49" customFormat="false" ht="15" hidden="false" customHeight="true" outlineLevel="0" collapsed="false">
      <c r="A49" s="77" t="s">
        <v>141</v>
      </c>
    </row>
    <row r="50" customFormat="false" ht="15" hidden="false" customHeight="true" outlineLevel="0" collapsed="false">
      <c r="A50" s="11" t="s">
        <v>195</v>
      </c>
      <c r="C50" s="19" t="n">
        <v>4.932</v>
      </c>
      <c r="D50" s="19" t="n">
        <v>5.6225</v>
      </c>
      <c r="E50" s="19" t="n">
        <v>6.4096</v>
      </c>
      <c r="F50" s="19" t="n">
        <v>7.307</v>
      </c>
      <c r="G50" s="19" t="n">
        <v>8.33</v>
      </c>
      <c r="H50" s="19" t="n">
        <v>9.4961</v>
      </c>
      <c r="I50" s="19" t="n">
        <v>10.8256</v>
      </c>
      <c r="J50" s="19" t="n">
        <v>0</v>
      </c>
      <c r="K50" s="19" t="n">
        <v>0</v>
      </c>
      <c r="L50" s="19" t="n">
        <v>0</v>
      </c>
      <c r="M50" s="19" t="n">
        <v>0</v>
      </c>
      <c r="N50" s="19" t="n">
        <v>0</v>
      </c>
      <c r="O50" s="19" t="n">
        <v>0</v>
      </c>
      <c r="P50" s="19" t="n">
        <v>0</v>
      </c>
      <c r="Q50" s="19" t="n">
        <v>0</v>
      </c>
      <c r="R50" s="19" t="n">
        <v>0</v>
      </c>
      <c r="S50" s="19" t="n">
        <v>0</v>
      </c>
      <c r="T50" s="19" t="n">
        <v>0</v>
      </c>
      <c r="U50" s="19" t="n">
        <v>0</v>
      </c>
      <c r="V50" s="19" t="n">
        <v>0</v>
      </c>
      <c r="W50" s="19" t="n">
        <v>0</v>
      </c>
      <c r="X50" s="19" t="n">
        <v>0</v>
      </c>
      <c r="Y50" s="19" t="n">
        <v>0</v>
      </c>
    </row>
    <row r="51" customFormat="false" ht="15" hidden="false" customHeight="true" outlineLevel="0" collapsed="false">
      <c r="A51" s="11" t="s">
        <v>196</v>
      </c>
      <c r="C51" s="19" t="n">
        <v>0.4932</v>
      </c>
      <c r="D51" s="19" t="n">
        <v>1.1171</v>
      </c>
      <c r="E51" s="19" t="n">
        <v>1.8283</v>
      </c>
      <c r="F51" s="19" t="n">
        <v>2.6392</v>
      </c>
      <c r="G51" s="19" t="n">
        <v>3.5635</v>
      </c>
      <c r="H51" s="19" t="n">
        <v>4.6172</v>
      </c>
      <c r="I51" s="19" t="n">
        <v>5.8185</v>
      </c>
      <c r="J51" s="19" t="n">
        <v>5.9538</v>
      </c>
      <c r="K51" s="19" t="n">
        <v>5.9538</v>
      </c>
      <c r="L51" s="19" t="n">
        <v>5.399</v>
      </c>
      <c r="M51" s="19" t="n">
        <v>4.7664</v>
      </c>
      <c r="N51" s="19" t="n">
        <v>4.0454</v>
      </c>
      <c r="O51" s="19" t="n">
        <v>3.2233</v>
      </c>
      <c r="P51" s="19" t="n">
        <v>2.2862</v>
      </c>
      <c r="Q51" s="19" t="n">
        <v>1.2179</v>
      </c>
      <c r="R51" s="19" t="n">
        <v>0</v>
      </c>
      <c r="S51" s="19" t="n">
        <v>0</v>
      </c>
      <c r="T51" s="19" t="n">
        <v>0</v>
      </c>
      <c r="U51" s="19" t="n">
        <v>0</v>
      </c>
      <c r="V51" s="19" t="n">
        <v>0</v>
      </c>
      <c r="W51" s="19" t="n">
        <v>0</v>
      </c>
      <c r="X51" s="19" t="n">
        <v>0</v>
      </c>
      <c r="Y51" s="19" t="n">
        <v>0</v>
      </c>
    </row>
    <row r="52" customFormat="false" ht="15" hidden="false" customHeight="true" outlineLevel="0" collapsed="false">
      <c r="A52" s="11" t="s">
        <v>197</v>
      </c>
      <c r="C52" s="19" t="n">
        <v>0.822</v>
      </c>
      <c r="D52" s="19" t="n">
        <v>1.7591</v>
      </c>
      <c r="E52" s="19" t="n">
        <v>2.8274</v>
      </c>
      <c r="F52" s="19" t="n">
        <v>4.0452</v>
      </c>
      <c r="G52" s="19" t="n">
        <v>5.4335</v>
      </c>
      <c r="H52" s="19" t="n">
        <v>7.0162</v>
      </c>
      <c r="I52" s="19" t="n">
        <v>7.9985</v>
      </c>
      <c r="J52" s="19" t="n">
        <v>7.0614</v>
      </c>
      <c r="K52" s="19" t="n">
        <v>5.9931</v>
      </c>
      <c r="L52" s="19" t="n">
        <v>4.7753</v>
      </c>
      <c r="M52" s="19" t="n">
        <v>3.387</v>
      </c>
      <c r="N52" s="19" t="n">
        <v>1.8043</v>
      </c>
      <c r="O52" s="19" t="n">
        <v>0</v>
      </c>
      <c r="P52" s="19" t="n">
        <v>0</v>
      </c>
      <c r="Q52" s="19" t="n">
        <v>0</v>
      </c>
      <c r="R52" s="19" t="n">
        <v>0</v>
      </c>
      <c r="S52" s="19" t="n">
        <v>0</v>
      </c>
      <c r="T52" s="19" t="n">
        <v>0</v>
      </c>
      <c r="U52" s="19" t="n">
        <v>0</v>
      </c>
      <c r="V52" s="19" t="n">
        <v>0</v>
      </c>
      <c r="W52" s="19" t="n">
        <v>0</v>
      </c>
      <c r="X52" s="19" t="n">
        <v>0</v>
      </c>
      <c r="Y52" s="19" t="n">
        <v>0</v>
      </c>
    </row>
    <row r="53" customFormat="false" ht="15" hidden="false" customHeight="true" outlineLevel="0" collapsed="false">
      <c r="A53" s="11" t="s">
        <v>198</v>
      </c>
      <c r="C53" s="19" t="n">
        <v>0.546</v>
      </c>
      <c r="D53" s="19" t="n">
        <v>1.1684</v>
      </c>
      <c r="E53" s="19" t="n">
        <v>1.878</v>
      </c>
      <c r="F53" s="19" t="n">
        <v>2.6869</v>
      </c>
      <c r="G53" s="19" t="n">
        <v>3.6091</v>
      </c>
      <c r="H53" s="19" t="n">
        <v>4.6604</v>
      </c>
      <c r="I53" s="19" t="n">
        <v>5.3128</v>
      </c>
      <c r="J53" s="19" t="n">
        <v>4.6904</v>
      </c>
      <c r="K53" s="19" t="n">
        <v>3.9808</v>
      </c>
      <c r="L53" s="19" t="n">
        <v>3.1719</v>
      </c>
      <c r="M53" s="19" t="n">
        <v>2.2497</v>
      </c>
      <c r="N53" s="19" t="n">
        <v>1.1985</v>
      </c>
      <c r="O53" s="19" t="n">
        <v>0</v>
      </c>
      <c r="P53" s="19" t="n">
        <v>0</v>
      </c>
      <c r="Q53" s="19" t="n">
        <v>0</v>
      </c>
      <c r="R53" s="19" t="n">
        <v>0</v>
      </c>
      <c r="S53" s="19" t="n">
        <v>0</v>
      </c>
      <c r="T53" s="19" t="n">
        <v>0</v>
      </c>
      <c r="U53" s="19" t="n">
        <v>0</v>
      </c>
      <c r="V53" s="19" t="n">
        <v>0</v>
      </c>
      <c r="W53" s="19" t="n">
        <v>0</v>
      </c>
      <c r="X53" s="19" t="n">
        <v>0</v>
      </c>
      <c r="Y53" s="19" t="n">
        <v>0</v>
      </c>
    </row>
    <row r="54" customFormat="false" ht="15" hidden="false" customHeight="true" outlineLevel="0" collapsed="false">
      <c r="A54" s="11" t="s">
        <v>199</v>
      </c>
      <c r="C54" s="19" t="n">
        <v>0.1599</v>
      </c>
      <c r="D54" s="19" t="n">
        <v>0.3422</v>
      </c>
      <c r="E54" s="19" t="n">
        <v>0.55</v>
      </c>
      <c r="F54" s="19" t="n">
        <v>0.7869</v>
      </c>
      <c r="G54" s="19" t="n">
        <v>1.057</v>
      </c>
      <c r="H54" s="19" t="n">
        <v>1.3648</v>
      </c>
      <c r="I54" s="19" t="n">
        <v>1.5559</v>
      </c>
      <c r="J54" s="19" t="n">
        <v>1.3736</v>
      </c>
      <c r="K54" s="19" t="n">
        <v>1.1658</v>
      </c>
      <c r="L54" s="19" t="n">
        <v>0.9289</v>
      </c>
      <c r="M54" s="19" t="n">
        <v>0.6588</v>
      </c>
      <c r="N54" s="19" t="n">
        <v>0.351</v>
      </c>
      <c r="O54" s="19" t="n">
        <v>0</v>
      </c>
      <c r="P54" s="19" t="n">
        <v>0</v>
      </c>
      <c r="Q54" s="19" t="n">
        <v>0</v>
      </c>
      <c r="R54" s="19" t="n">
        <v>0</v>
      </c>
      <c r="S54" s="19" t="n">
        <v>0</v>
      </c>
      <c r="T54" s="19" t="n">
        <v>0</v>
      </c>
      <c r="U54" s="19" t="n">
        <v>0</v>
      </c>
      <c r="V54" s="19" t="n">
        <v>0</v>
      </c>
      <c r="W54" s="19" t="n">
        <v>0</v>
      </c>
      <c r="X54" s="19" t="n">
        <v>0</v>
      </c>
      <c r="Y54" s="19" t="n">
        <v>0</v>
      </c>
    </row>
    <row r="55" customFormat="false" ht="15" hidden="false" customHeight="true" outlineLevel="0" collapsed="false">
      <c r="A55" s="11" t="s">
        <v>200</v>
      </c>
      <c r="C55" s="19" t="n">
        <v>0</v>
      </c>
      <c r="D55" s="19" t="n">
        <v>0</v>
      </c>
      <c r="E55" s="19" t="n">
        <v>0</v>
      </c>
      <c r="F55" s="19" t="n">
        <v>0</v>
      </c>
      <c r="G55" s="19" t="n">
        <v>0</v>
      </c>
      <c r="H55" s="19" t="n">
        <v>0</v>
      </c>
      <c r="I55" s="19" t="n">
        <v>0</v>
      </c>
      <c r="J55" s="19" t="n">
        <v>0</v>
      </c>
      <c r="K55" s="19" t="n">
        <v>0</v>
      </c>
      <c r="L55" s="19" t="n">
        <v>0</v>
      </c>
      <c r="M55" s="19" t="n">
        <v>0</v>
      </c>
      <c r="N55" s="19" t="n">
        <v>0</v>
      </c>
      <c r="O55" s="19" t="n">
        <v>0</v>
      </c>
      <c r="P55" s="19" t="n">
        <v>0</v>
      </c>
      <c r="Q55" s="19" t="n">
        <v>0</v>
      </c>
      <c r="R55" s="19" t="n">
        <v>0</v>
      </c>
      <c r="S55" s="19" t="n">
        <v>0</v>
      </c>
      <c r="T55" s="19" t="n">
        <v>0</v>
      </c>
      <c r="U55" s="19" t="n">
        <v>0</v>
      </c>
      <c r="V55" s="19" t="n">
        <v>0</v>
      </c>
      <c r="W55" s="19" t="n">
        <v>0</v>
      </c>
      <c r="X55" s="19" t="n">
        <v>0</v>
      </c>
      <c r="Y55" s="19" t="n">
        <v>0</v>
      </c>
    </row>
    <row r="56" customFormat="false" ht="15" hidden="false" customHeight="true" outlineLevel="0" collapsed="false">
      <c r="A56" s="11" t="s">
        <v>201</v>
      </c>
      <c r="C56" s="19" t="n">
        <v>0.3452</v>
      </c>
      <c r="D56" s="19" t="n">
        <v>0.3936</v>
      </c>
      <c r="E56" s="19" t="n">
        <v>0.4487</v>
      </c>
      <c r="F56" s="19" t="n">
        <v>0.5115</v>
      </c>
      <c r="G56" s="19" t="n">
        <v>0.5831</v>
      </c>
      <c r="H56" s="19" t="n">
        <v>0.6647</v>
      </c>
      <c r="I56" s="19" t="n">
        <v>0.7578</v>
      </c>
      <c r="J56" s="19" t="n">
        <v>0</v>
      </c>
      <c r="K56" s="19" t="n">
        <v>0</v>
      </c>
      <c r="L56" s="19" t="n">
        <v>0</v>
      </c>
      <c r="M56" s="19" t="n">
        <v>0</v>
      </c>
      <c r="N56" s="19" t="n">
        <v>0</v>
      </c>
      <c r="O56" s="19" t="n">
        <v>0</v>
      </c>
      <c r="P56" s="19" t="n">
        <v>0</v>
      </c>
      <c r="Q56" s="19" t="n">
        <v>0</v>
      </c>
      <c r="R56" s="19" t="n">
        <v>0</v>
      </c>
      <c r="S56" s="19" t="n">
        <v>0</v>
      </c>
      <c r="T56" s="19" t="n">
        <v>0</v>
      </c>
      <c r="U56" s="19" t="n">
        <v>0</v>
      </c>
      <c r="V56" s="19" t="n">
        <v>0</v>
      </c>
      <c r="W56" s="19" t="n">
        <v>0</v>
      </c>
      <c r="X56" s="19" t="n">
        <v>0</v>
      </c>
      <c r="Y56" s="19" t="n">
        <v>0</v>
      </c>
    </row>
    <row r="58" customFormat="false" ht="15" hidden="false" customHeight="true" outlineLevel="0" collapsed="false">
      <c r="A58" s="77" t="s">
        <v>143</v>
      </c>
    </row>
    <row r="59" customFormat="false" ht="15" hidden="false" customHeight="true" outlineLevel="0" collapsed="false">
      <c r="A59" s="11" t="s">
        <v>195</v>
      </c>
      <c r="C59" s="19" t="n">
        <v>2.4589</v>
      </c>
      <c r="D59" s="19" t="n">
        <v>2.8032</v>
      </c>
      <c r="E59" s="19" t="n">
        <v>3.1956</v>
      </c>
      <c r="F59" s="19" t="n">
        <v>3.643</v>
      </c>
      <c r="G59" s="19" t="n">
        <v>4.153</v>
      </c>
      <c r="H59" s="19" t="n">
        <v>4.7345</v>
      </c>
      <c r="I59" s="19" t="n">
        <v>5.3973</v>
      </c>
      <c r="J59" s="19" t="n">
        <v>0</v>
      </c>
      <c r="K59" s="19" t="n">
        <v>0</v>
      </c>
      <c r="L59" s="19" t="n">
        <v>0</v>
      </c>
      <c r="M59" s="19" t="n">
        <v>0</v>
      </c>
      <c r="N59" s="19" t="n">
        <v>0</v>
      </c>
      <c r="O59" s="19" t="n">
        <v>0</v>
      </c>
      <c r="P59" s="19" t="n">
        <v>0</v>
      </c>
      <c r="Q59" s="19" t="n">
        <v>0</v>
      </c>
      <c r="R59" s="19" t="n">
        <v>0</v>
      </c>
      <c r="S59" s="19" t="n">
        <v>0</v>
      </c>
      <c r="T59" s="19" t="n">
        <v>0</v>
      </c>
      <c r="U59" s="19" t="n">
        <v>0</v>
      </c>
      <c r="V59" s="19" t="n">
        <v>0</v>
      </c>
      <c r="W59" s="19" t="n">
        <v>0</v>
      </c>
      <c r="X59" s="19" t="n">
        <v>0</v>
      </c>
      <c r="Y59" s="19" t="n">
        <v>0</v>
      </c>
    </row>
    <row r="60" customFormat="false" ht="15" hidden="false" customHeight="true" outlineLevel="0" collapsed="false">
      <c r="A60" s="11" t="s">
        <v>196</v>
      </c>
      <c r="C60" s="19" t="n">
        <v>0.2459</v>
      </c>
      <c r="D60" s="19" t="n">
        <v>0.5569</v>
      </c>
      <c r="E60" s="19" t="n">
        <v>0.9115</v>
      </c>
      <c r="F60" s="19" t="n">
        <v>1.3158</v>
      </c>
      <c r="G60" s="19" t="n">
        <v>1.7766</v>
      </c>
      <c r="H60" s="19" t="n">
        <v>2.302</v>
      </c>
      <c r="I60" s="19" t="n">
        <v>2.9009</v>
      </c>
      <c r="J60" s="19" t="n">
        <v>2.9684</v>
      </c>
      <c r="K60" s="19" t="n">
        <v>2.9684</v>
      </c>
      <c r="L60" s="19" t="n">
        <v>2.6917</v>
      </c>
      <c r="M60" s="19" t="n">
        <v>2.3764</v>
      </c>
      <c r="N60" s="19" t="n">
        <v>2.0169</v>
      </c>
      <c r="O60" s="19" t="n">
        <v>1.607</v>
      </c>
      <c r="P60" s="19" t="n">
        <v>1.1398</v>
      </c>
      <c r="Q60" s="19" t="n">
        <v>0.6072</v>
      </c>
      <c r="R60" s="19" t="n">
        <v>0</v>
      </c>
      <c r="S60" s="19" t="n">
        <v>0</v>
      </c>
      <c r="T60" s="19" t="n">
        <v>0</v>
      </c>
      <c r="U60" s="19" t="n">
        <v>0</v>
      </c>
      <c r="V60" s="19" t="n">
        <v>0</v>
      </c>
      <c r="W60" s="19" t="n">
        <v>0</v>
      </c>
      <c r="X60" s="19" t="n">
        <v>0</v>
      </c>
      <c r="Y60" s="19" t="n">
        <v>0</v>
      </c>
    </row>
    <row r="61" customFormat="false" ht="15" hidden="false" customHeight="true" outlineLevel="0" collapsed="false">
      <c r="A61" s="11" t="s">
        <v>197</v>
      </c>
      <c r="C61" s="19" t="n">
        <v>0.4098</v>
      </c>
      <c r="D61" s="19" t="n">
        <v>0.877</v>
      </c>
      <c r="E61" s="19" t="n">
        <v>1.4096</v>
      </c>
      <c r="F61" s="19" t="n">
        <v>2.0168</v>
      </c>
      <c r="G61" s="19" t="n">
        <v>2.709</v>
      </c>
      <c r="H61" s="19" t="n">
        <v>3.498</v>
      </c>
      <c r="I61" s="19" t="n">
        <v>3.9878</v>
      </c>
      <c r="J61" s="19" t="n">
        <v>3.5206</v>
      </c>
      <c r="K61" s="19" t="n">
        <v>2.988</v>
      </c>
      <c r="L61" s="19" t="n">
        <v>2.3808</v>
      </c>
      <c r="M61" s="19" t="n">
        <v>1.6886</v>
      </c>
      <c r="N61" s="19" t="n">
        <v>0.8995</v>
      </c>
      <c r="O61" s="19" t="n">
        <v>0</v>
      </c>
      <c r="P61" s="19" t="n">
        <v>0</v>
      </c>
      <c r="Q61" s="19" t="n">
        <v>0</v>
      </c>
      <c r="R61" s="19" t="n">
        <v>0</v>
      </c>
      <c r="S61" s="19" t="n">
        <v>0</v>
      </c>
      <c r="T61" s="19" t="n">
        <v>0</v>
      </c>
      <c r="U61" s="19" t="n">
        <v>0</v>
      </c>
      <c r="V61" s="19" t="n">
        <v>0</v>
      </c>
      <c r="W61" s="19" t="n">
        <v>0</v>
      </c>
      <c r="X61" s="19" t="n">
        <v>0</v>
      </c>
      <c r="Y61" s="19" t="n">
        <v>0</v>
      </c>
    </row>
    <row r="62" customFormat="false" ht="15" hidden="false" customHeight="true" outlineLevel="0" collapsed="false">
      <c r="A62" s="11" t="s">
        <v>198</v>
      </c>
      <c r="C62" s="19" t="n">
        <v>0.2806</v>
      </c>
      <c r="D62" s="19" t="n">
        <v>0.6004</v>
      </c>
      <c r="E62" s="19" t="n">
        <v>0.965</v>
      </c>
      <c r="F62" s="19" t="n">
        <v>1.3807</v>
      </c>
      <c r="G62" s="19" t="n">
        <v>1.8545</v>
      </c>
      <c r="H62" s="19" t="n">
        <v>2.3947</v>
      </c>
      <c r="I62" s="19" t="n">
        <v>2.73</v>
      </c>
      <c r="J62" s="19" t="n">
        <v>2.4102</v>
      </c>
      <c r="K62" s="19" t="n">
        <v>2.0455</v>
      </c>
      <c r="L62" s="19" t="n">
        <v>1.6299</v>
      </c>
      <c r="M62" s="19" t="n">
        <v>1.156</v>
      </c>
      <c r="N62" s="19" t="n">
        <v>0.6158</v>
      </c>
      <c r="O62" s="19" t="n">
        <v>0</v>
      </c>
      <c r="P62" s="19" t="n">
        <v>0</v>
      </c>
      <c r="Q62" s="19" t="n">
        <v>0</v>
      </c>
      <c r="R62" s="19" t="n">
        <v>0</v>
      </c>
      <c r="S62" s="19" t="n">
        <v>0</v>
      </c>
      <c r="T62" s="19" t="n">
        <v>0</v>
      </c>
      <c r="U62" s="19" t="n">
        <v>0</v>
      </c>
      <c r="V62" s="19" t="n">
        <v>0</v>
      </c>
      <c r="W62" s="19" t="n">
        <v>0</v>
      </c>
      <c r="X62" s="19" t="n">
        <v>0</v>
      </c>
      <c r="Y62" s="19" t="n">
        <v>0</v>
      </c>
    </row>
    <row r="63" customFormat="false" ht="15" hidden="false" customHeight="true" outlineLevel="0" collapsed="false">
      <c r="A63" s="11" t="s">
        <v>199</v>
      </c>
      <c r="C63" s="19" t="n">
        <v>0.0901</v>
      </c>
      <c r="D63" s="19" t="n">
        <v>0.1929</v>
      </c>
      <c r="E63" s="19" t="n">
        <v>0.3101</v>
      </c>
      <c r="F63" s="19" t="n">
        <v>0.4436</v>
      </c>
      <c r="G63" s="19" t="n">
        <v>0.5959</v>
      </c>
      <c r="H63" s="19" t="n">
        <v>0.7694</v>
      </c>
      <c r="I63" s="19" t="n">
        <v>0.8771</v>
      </c>
      <c r="J63" s="19" t="n">
        <v>0.7744</v>
      </c>
      <c r="K63" s="19" t="n">
        <v>0.6572</v>
      </c>
      <c r="L63" s="19" t="n">
        <v>0.5237</v>
      </c>
      <c r="M63" s="19" t="n">
        <v>0.3714</v>
      </c>
      <c r="N63" s="19" t="n">
        <v>0.1979</v>
      </c>
      <c r="O63" s="19" t="n">
        <v>0</v>
      </c>
      <c r="P63" s="19" t="n">
        <v>0</v>
      </c>
      <c r="Q63" s="19" t="n">
        <v>0</v>
      </c>
      <c r="R63" s="19" t="n">
        <v>0</v>
      </c>
      <c r="S63" s="19" t="n">
        <v>0</v>
      </c>
      <c r="T63" s="19" t="n">
        <v>0</v>
      </c>
      <c r="U63" s="19" t="n">
        <v>0</v>
      </c>
      <c r="V63" s="19" t="n">
        <v>0</v>
      </c>
      <c r="W63" s="19" t="n">
        <v>0</v>
      </c>
      <c r="X63" s="19" t="n">
        <v>0</v>
      </c>
      <c r="Y63" s="19" t="n">
        <v>0</v>
      </c>
    </row>
    <row r="64" customFormat="false" ht="15" hidden="false" customHeight="true" outlineLevel="0" collapsed="false">
      <c r="A64" s="11" t="s">
        <v>200</v>
      </c>
      <c r="C64" s="19" t="n">
        <v>0</v>
      </c>
      <c r="D64" s="19" t="n">
        <v>0</v>
      </c>
      <c r="E64" s="19" t="n">
        <v>0</v>
      </c>
      <c r="F64" s="19" t="n">
        <v>0</v>
      </c>
      <c r="G64" s="19" t="n">
        <v>0</v>
      </c>
      <c r="H64" s="19" t="n">
        <v>0</v>
      </c>
      <c r="I64" s="19" t="n">
        <v>0</v>
      </c>
      <c r="J64" s="19" t="n">
        <v>0</v>
      </c>
      <c r="K64" s="19" t="n">
        <v>0</v>
      </c>
      <c r="L64" s="19" t="n">
        <v>0</v>
      </c>
      <c r="M64" s="19" t="n">
        <v>0</v>
      </c>
      <c r="N64" s="19" t="n">
        <v>0</v>
      </c>
      <c r="O64" s="19" t="n">
        <v>0</v>
      </c>
      <c r="P64" s="19" t="n">
        <v>0</v>
      </c>
      <c r="Q64" s="19" t="n">
        <v>0</v>
      </c>
      <c r="R64" s="19" t="n">
        <v>0</v>
      </c>
      <c r="S64" s="19" t="n">
        <v>0</v>
      </c>
      <c r="T64" s="19" t="n">
        <v>0</v>
      </c>
      <c r="U64" s="19" t="n">
        <v>0</v>
      </c>
      <c r="V64" s="19" t="n">
        <v>0</v>
      </c>
      <c r="W64" s="19" t="n">
        <v>0</v>
      </c>
      <c r="X64" s="19" t="n">
        <v>0</v>
      </c>
      <c r="Y64" s="19" t="n">
        <v>0</v>
      </c>
    </row>
    <row r="65" customFormat="false" ht="15" hidden="false" customHeight="true" outlineLevel="0" collapsed="false">
      <c r="A65" s="11" t="s">
        <v>201</v>
      </c>
      <c r="C65" s="19" t="n">
        <v>0.1967</v>
      </c>
      <c r="D65" s="19" t="n">
        <v>0.2243</v>
      </c>
      <c r="E65" s="19" t="n">
        <v>0.2556</v>
      </c>
      <c r="F65" s="19" t="n">
        <v>0.2914</v>
      </c>
      <c r="G65" s="19" t="n">
        <v>0.3322</v>
      </c>
      <c r="H65" s="19" t="n">
        <v>0.3788</v>
      </c>
      <c r="I65" s="19" t="n">
        <v>0.4318</v>
      </c>
      <c r="J65" s="19" t="n">
        <v>0</v>
      </c>
      <c r="K65" s="19" t="n">
        <v>0</v>
      </c>
      <c r="L65" s="19" t="n">
        <v>0</v>
      </c>
      <c r="M65" s="19" t="n">
        <v>0</v>
      </c>
      <c r="N65" s="19" t="n">
        <v>0</v>
      </c>
      <c r="O65" s="19" t="n">
        <v>0</v>
      </c>
      <c r="P65" s="19" t="n">
        <v>0</v>
      </c>
      <c r="Q65" s="19" t="n">
        <v>0</v>
      </c>
      <c r="R65" s="19" t="n">
        <v>0</v>
      </c>
      <c r="S65" s="19" t="n">
        <v>0</v>
      </c>
      <c r="T65" s="19" t="n">
        <v>0</v>
      </c>
      <c r="U65" s="19" t="n">
        <v>0</v>
      </c>
      <c r="V65" s="19" t="n">
        <v>0</v>
      </c>
      <c r="W65" s="19" t="n">
        <v>0</v>
      </c>
      <c r="X65" s="19" t="n">
        <v>0</v>
      </c>
      <c r="Y65" s="19" t="n">
        <v>0</v>
      </c>
    </row>
    <row r="67" customFormat="false" ht="15" hidden="false" customHeight="true" outlineLevel="0" collapsed="false">
      <c r="A67" s="77" t="s">
        <v>145</v>
      </c>
    </row>
    <row r="68" customFormat="false" ht="15" hidden="false" customHeight="true" outlineLevel="0" collapsed="false">
      <c r="A68" s="11" t="s">
        <v>195</v>
      </c>
      <c r="C68" s="19" t="n">
        <v>2.346</v>
      </c>
      <c r="D68" s="19" t="n">
        <v>2.6744</v>
      </c>
      <c r="E68" s="19" t="n">
        <v>3.0489</v>
      </c>
      <c r="F68" s="19" t="n">
        <v>3.4757</v>
      </c>
      <c r="G68" s="19" t="n">
        <v>3.9623</v>
      </c>
      <c r="H68" s="19" t="n">
        <v>4.517</v>
      </c>
      <c r="I68" s="19" t="n">
        <v>5.1494</v>
      </c>
      <c r="J68" s="19" t="n">
        <v>5.8703</v>
      </c>
      <c r="K68" s="19" t="n">
        <v>6.6922</v>
      </c>
      <c r="L68" s="19" t="n">
        <v>7.6291</v>
      </c>
      <c r="M68" s="19" t="n">
        <v>8.6971</v>
      </c>
      <c r="N68" s="19" t="n">
        <v>9.9147</v>
      </c>
      <c r="O68" s="19" t="n">
        <v>0</v>
      </c>
      <c r="P68" s="19" t="n">
        <v>0</v>
      </c>
      <c r="Q68" s="19" t="n">
        <v>0</v>
      </c>
      <c r="R68" s="19" t="n">
        <v>0</v>
      </c>
      <c r="S68" s="19" t="n">
        <v>0</v>
      </c>
      <c r="T68" s="19" t="n">
        <v>0</v>
      </c>
      <c r="U68" s="19" t="n">
        <v>0</v>
      </c>
      <c r="V68" s="19" t="n">
        <v>0</v>
      </c>
      <c r="W68" s="19" t="n">
        <v>0</v>
      </c>
      <c r="X68" s="19" t="n">
        <v>0</v>
      </c>
      <c r="Y68" s="19" t="n">
        <v>0</v>
      </c>
    </row>
    <row r="69" customFormat="false" ht="15" hidden="false" customHeight="true" outlineLevel="0" collapsed="false">
      <c r="A69" s="11" t="s">
        <v>196</v>
      </c>
      <c r="C69" s="19" t="n">
        <v>0.2346</v>
      </c>
      <c r="D69" s="19" t="n">
        <v>0.5314</v>
      </c>
      <c r="E69" s="19" t="n">
        <v>0.8697</v>
      </c>
      <c r="F69" s="19" t="n">
        <v>1.2554</v>
      </c>
      <c r="G69" s="19" t="n">
        <v>1.695</v>
      </c>
      <c r="H69" s="19" t="n">
        <v>2.1963</v>
      </c>
      <c r="I69" s="19" t="n">
        <v>2.7677</v>
      </c>
      <c r="J69" s="19" t="n">
        <v>3.4191</v>
      </c>
      <c r="K69" s="19" t="n">
        <v>4.1617</v>
      </c>
      <c r="L69" s="19" t="n">
        <v>4.7443</v>
      </c>
      <c r="M69" s="19" t="n">
        <v>5.4085</v>
      </c>
      <c r="N69" s="19" t="n">
        <v>6.1657</v>
      </c>
      <c r="O69" s="19" t="n">
        <v>5.8986</v>
      </c>
      <c r="P69" s="19" t="n">
        <v>5.4529</v>
      </c>
      <c r="Q69" s="19" t="n">
        <v>4.9447</v>
      </c>
      <c r="R69" s="19" t="n">
        <v>4.3654</v>
      </c>
      <c r="S69" s="19" t="n">
        <v>3.705</v>
      </c>
      <c r="T69" s="19" t="n">
        <v>2.9521</v>
      </c>
      <c r="U69" s="19" t="n">
        <v>2.0938</v>
      </c>
      <c r="V69" s="19" t="n">
        <v>1.1154</v>
      </c>
      <c r="W69" s="19" t="n">
        <v>0</v>
      </c>
      <c r="X69" s="19" t="n">
        <v>0</v>
      </c>
      <c r="Y69" s="19" t="n">
        <v>0</v>
      </c>
    </row>
    <row r="70" customFormat="false" ht="15" hidden="false" customHeight="true" outlineLevel="0" collapsed="false">
      <c r="A70" s="11" t="s">
        <v>197</v>
      </c>
      <c r="C70" s="19" t="n">
        <v>0.1955</v>
      </c>
      <c r="D70" s="19" t="n">
        <v>0.4184</v>
      </c>
      <c r="E70" s="19" t="n">
        <v>0.6724</v>
      </c>
      <c r="F70" s="19" t="n">
        <v>0.9621</v>
      </c>
      <c r="G70" s="19" t="n">
        <v>1.2923</v>
      </c>
      <c r="H70" s="19" t="n">
        <v>1.6687</v>
      </c>
      <c r="I70" s="19" t="n">
        <v>2.0978</v>
      </c>
      <c r="J70" s="19" t="n">
        <v>2.587</v>
      </c>
      <c r="K70" s="19" t="n">
        <v>3.1447</v>
      </c>
      <c r="L70" s="19" t="n">
        <v>3.7804</v>
      </c>
      <c r="M70" s="19" t="n">
        <v>4.5052</v>
      </c>
      <c r="N70" s="19" t="n">
        <v>5.3314</v>
      </c>
      <c r="O70" s="19" t="n">
        <v>5.1359</v>
      </c>
      <c r="P70" s="19" t="n">
        <v>4.9131</v>
      </c>
      <c r="Q70" s="19" t="n">
        <v>4.659</v>
      </c>
      <c r="R70" s="19" t="n">
        <v>4.3693</v>
      </c>
      <c r="S70" s="19" t="n">
        <v>4.0392</v>
      </c>
      <c r="T70" s="19" t="n">
        <v>3.6627</v>
      </c>
      <c r="U70" s="19" t="n">
        <v>3.2336</v>
      </c>
      <c r="V70" s="19" t="n">
        <v>2.7444</v>
      </c>
      <c r="W70" s="19" t="n">
        <v>2.1867</v>
      </c>
      <c r="X70" s="19" t="n">
        <v>1.551</v>
      </c>
      <c r="Y70" s="19" t="n">
        <v>0.8262</v>
      </c>
    </row>
    <row r="71" customFormat="false" ht="15" hidden="false" customHeight="true" outlineLevel="0" collapsed="false">
      <c r="A71" s="11" t="s">
        <v>198</v>
      </c>
      <c r="C71" s="19" t="n">
        <v>0.16</v>
      </c>
      <c r="D71" s="19" t="n">
        <v>0.3423</v>
      </c>
      <c r="E71" s="19" t="n">
        <v>0.5502</v>
      </c>
      <c r="F71" s="19" t="n">
        <v>0.7872</v>
      </c>
      <c r="G71" s="19" t="n">
        <v>1.0574</v>
      </c>
      <c r="H71" s="19" t="n">
        <v>1.3654</v>
      </c>
      <c r="I71" s="19" t="n">
        <v>1.7165</v>
      </c>
      <c r="J71" s="19" t="n">
        <v>2.1167</v>
      </c>
      <c r="K71" s="19" t="n">
        <v>2.573</v>
      </c>
      <c r="L71" s="19" t="n">
        <v>3.0932</v>
      </c>
      <c r="M71" s="19" t="n">
        <v>3.6862</v>
      </c>
      <c r="N71" s="19" t="n">
        <v>4.3623</v>
      </c>
      <c r="O71" s="19" t="n">
        <v>4.2023</v>
      </c>
      <c r="P71" s="19" t="n">
        <v>4.02</v>
      </c>
      <c r="Q71" s="19" t="n">
        <v>3.8121</v>
      </c>
      <c r="R71" s="19" t="n">
        <v>3.5751</v>
      </c>
      <c r="S71" s="19" t="n">
        <v>3.3049</v>
      </c>
      <c r="T71" s="19" t="n">
        <v>2.9969</v>
      </c>
      <c r="U71" s="19" t="n">
        <v>2.6458</v>
      </c>
      <c r="V71" s="19" t="n">
        <v>2.2455</v>
      </c>
      <c r="W71" s="19" t="n">
        <v>1.7892</v>
      </c>
      <c r="X71" s="19" t="n">
        <v>1.269</v>
      </c>
      <c r="Y71" s="19" t="n">
        <v>0.676</v>
      </c>
    </row>
    <row r="72" customFormat="false" ht="15" hidden="false" customHeight="true" outlineLevel="0" collapsed="false">
      <c r="A72" s="11" t="s">
        <v>199</v>
      </c>
      <c r="C72" s="19" t="n">
        <v>0.0545</v>
      </c>
      <c r="D72" s="19" t="n">
        <v>0.1166</v>
      </c>
      <c r="E72" s="19" t="n">
        <v>0.1875</v>
      </c>
      <c r="F72" s="19" t="n">
        <v>0.2682</v>
      </c>
      <c r="G72" s="19" t="n">
        <v>0.3603</v>
      </c>
      <c r="H72" s="19" t="n">
        <v>0.4653</v>
      </c>
      <c r="I72" s="19" t="n">
        <v>0.5849</v>
      </c>
      <c r="J72" s="19" t="n">
        <v>0.7213</v>
      </c>
      <c r="K72" s="19" t="n">
        <v>0.8768</v>
      </c>
      <c r="L72" s="19" t="n">
        <v>1.0541</v>
      </c>
      <c r="M72" s="19" t="n">
        <v>1.2561</v>
      </c>
      <c r="N72" s="19" t="n">
        <v>1.4865</v>
      </c>
      <c r="O72" s="19" t="n">
        <v>1.432</v>
      </c>
      <c r="P72" s="19" t="n">
        <v>1.3699</v>
      </c>
      <c r="Q72" s="19" t="n">
        <v>1.299</v>
      </c>
      <c r="R72" s="19" t="n">
        <v>1.2183</v>
      </c>
      <c r="S72" s="19" t="n">
        <v>1.1262</v>
      </c>
      <c r="T72" s="19" t="n">
        <v>1.0212</v>
      </c>
      <c r="U72" s="19" t="n">
        <v>0.9016</v>
      </c>
      <c r="V72" s="19" t="n">
        <v>0.7652</v>
      </c>
      <c r="W72" s="19" t="n">
        <v>0.6097</v>
      </c>
      <c r="X72" s="19" t="n">
        <v>0.4324</v>
      </c>
      <c r="Y72" s="19" t="n">
        <v>0.2304</v>
      </c>
    </row>
    <row r="73" customFormat="false" ht="15" hidden="false" customHeight="true" outlineLevel="0" collapsed="false">
      <c r="A73" s="11" t="s">
        <v>200</v>
      </c>
      <c r="C73" s="19" t="n">
        <v>0.0422</v>
      </c>
      <c r="D73" s="19" t="n">
        <v>0.0902</v>
      </c>
      <c r="E73" s="19" t="n">
        <v>0.145</v>
      </c>
      <c r="F73" s="19" t="n">
        <v>0.2075</v>
      </c>
      <c r="G73" s="19" t="n">
        <v>0.2787</v>
      </c>
      <c r="H73" s="19" t="n">
        <v>0.3599</v>
      </c>
      <c r="I73" s="19" t="n">
        <v>0.4525</v>
      </c>
      <c r="J73" s="19" t="n">
        <v>0.558</v>
      </c>
      <c r="K73" s="19" t="n">
        <v>0.6783</v>
      </c>
      <c r="L73" s="19" t="n">
        <v>0.8154</v>
      </c>
      <c r="M73" s="19" t="n">
        <v>0.9718</v>
      </c>
      <c r="N73" s="19" t="n">
        <v>1.15</v>
      </c>
      <c r="O73" s="19" t="n">
        <v>1.1078</v>
      </c>
      <c r="P73" s="19" t="n">
        <v>1.0598</v>
      </c>
      <c r="Q73" s="19" t="n">
        <v>1.005</v>
      </c>
      <c r="R73" s="19" t="n">
        <v>0.9425</v>
      </c>
      <c r="S73" s="19" t="n">
        <v>0.8713</v>
      </c>
      <c r="T73" s="19" t="n">
        <v>0.7901</v>
      </c>
      <c r="U73" s="19" t="n">
        <v>0.6975</v>
      </c>
      <c r="V73" s="19" t="n">
        <v>0.592</v>
      </c>
      <c r="W73" s="19" t="n">
        <v>0.4717</v>
      </c>
      <c r="X73" s="19" t="n">
        <v>0.3346</v>
      </c>
      <c r="Y73" s="19" t="n">
        <v>0.1782</v>
      </c>
    </row>
    <row r="74" customFormat="false" ht="15" hidden="false" customHeight="true" outlineLevel="0" collapsed="false">
      <c r="A74" s="11" t="s">
        <v>201</v>
      </c>
      <c r="C74" s="19" t="n">
        <v>0.1877</v>
      </c>
      <c r="D74" s="19" t="n">
        <v>0.214</v>
      </c>
      <c r="E74" s="19" t="n">
        <v>0.2439</v>
      </c>
      <c r="F74" s="19" t="n">
        <v>0.2781</v>
      </c>
      <c r="G74" s="19" t="n">
        <v>0.317</v>
      </c>
      <c r="H74" s="19" t="n">
        <v>0.3614</v>
      </c>
      <c r="I74" s="19" t="n">
        <v>0.412</v>
      </c>
      <c r="J74" s="19" t="n">
        <v>0.4696</v>
      </c>
      <c r="K74" s="19" t="n">
        <v>0.5354</v>
      </c>
      <c r="L74" s="19" t="n">
        <v>0.6103</v>
      </c>
      <c r="M74" s="19" t="n">
        <v>0.6958</v>
      </c>
      <c r="N74" s="19" t="n">
        <v>0.7932</v>
      </c>
      <c r="O74" s="19" t="n">
        <v>0</v>
      </c>
      <c r="P74" s="19" t="n">
        <v>0</v>
      </c>
      <c r="Q74" s="19" t="n">
        <v>0</v>
      </c>
      <c r="R74" s="19" t="n">
        <v>0</v>
      </c>
      <c r="S74" s="19" t="n">
        <v>0</v>
      </c>
      <c r="T74" s="19" t="n">
        <v>0</v>
      </c>
      <c r="U74" s="19" t="n">
        <v>0</v>
      </c>
      <c r="V74" s="19" t="n">
        <v>0</v>
      </c>
      <c r="W74" s="19" t="n">
        <v>0</v>
      </c>
      <c r="X74" s="19" t="n">
        <v>0</v>
      </c>
      <c r="Y74" s="19" t="n">
        <v>0</v>
      </c>
    </row>
    <row r="76" customFormat="false" ht="15" hidden="false" customHeight="true" outlineLevel="0" collapsed="false">
      <c r="A76" s="77" t="s">
        <v>147</v>
      </c>
    </row>
    <row r="77" customFormat="false" ht="15" hidden="false" customHeight="true" outlineLevel="0" collapsed="false">
      <c r="A77" s="11" t="s">
        <v>195</v>
      </c>
      <c r="C77" s="19" t="n">
        <v>4.0725</v>
      </c>
      <c r="D77" s="19" t="n">
        <v>4.6427</v>
      </c>
      <c r="E77" s="19" t="n">
        <v>5.2926</v>
      </c>
      <c r="F77" s="19" t="n">
        <v>6.0336</v>
      </c>
      <c r="G77" s="19" t="n">
        <v>6.8783</v>
      </c>
      <c r="H77" s="19" t="n">
        <v>7.8413</v>
      </c>
      <c r="I77" s="19" t="n">
        <v>8.939</v>
      </c>
      <c r="J77" s="19" t="n">
        <v>10.1905</v>
      </c>
      <c r="K77" s="19" t="n">
        <v>0</v>
      </c>
      <c r="L77" s="19" t="n">
        <v>0</v>
      </c>
      <c r="M77" s="19" t="n">
        <v>0</v>
      </c>
      <c r="N77" s="19" t="n">
        <v>0</v>
      </c>
      <c r="O77" s="19" t="n">
        <v>0</v>
      </c>
      <c r="P77" s="19" t="n">
        <v>0</v>
      </c>
      <c r="Q77" s="19" t="n">
        <v>0</v>
      </c>
      <c r="R77" s="19" t="n">
        <v>0</v>
      </c>
      <c r="S77" s="19" t="n">
        <v>0</v>
      </c>
      <c r="T77" s="19" t="n">
        <v>0</v>
      </c>
      <c r="U77" s="19" t="n">
        <v>0</v>
      </c>
      <c r="V77" s="19" t="n">
        <v>0</v>
      </c>
      <c r="W77" s="19" t="n">
        <v>0</v>
      </c>
      <c r="X77" s="19" t="n">
        <v>0</v>
      </c>
      <c r="Y77" s="19" t="n">
        <v>0</v>
      </c>
    </row>
    <row r="78" customFormat="false" ht="15" hidden="false" customHeight="true" outlineLevel="0" collapsed="false">
      <c r="A78" s="11" t="s">
        <v>196</v>
      </c>
      <c r="C78" s="19" t="n">
        <v>0.4073</v>
      </c>
      <c r="D78" s="19" t="n">
        <v>0.9224</v>
      </c>
      <c r="E78" s="19" t="n">
        <v>1.5097</v>
      </c>
      <c r="F78" s="19" t="n">
        <v>2.1792</v>
      </c>
      <c r="G78" s="19" t="n">
        <v>2.9425</v>
      </c>
      <c r="H78" s="19" t="n">
        <v>3.8126</v>
      </c>
      <c r="I78" s="19" t="n">
        <v>4.8045</v>
      </c>
      <c r="J78" s="19" t="n">
        <v>5.9353</v>
      </c>
      <c r="K78" s="19" t="n">
        <v>6.0627</v>
      </c>
      <c r="L78" s="19" t="n">
        <v>5.6045</v>
      </c>
      <c r="M78" s="19" t="n">
        <v>5.0822</v>
      </c>
      <c r="N78" s="19" t="n">
        <v>4.4868</v>
      </c>
      <c r="O78" s="19" t="n">
        <v>3.808</v>
      </c>
      <c r="P78" s="19" t="n">
        <v>3.0342</v>
      </c>
      <c r="Q78" s="19" t="n">
        <v>2.1521</v>
      </c>
      <c r="R78" s="19" t="n">
        <v>1.1464</v>
      </c>
      <c r="S78" s="19" t="n">
        <v>0</v>
      </c>
      <c r="T78" s="19" t="n">
        <v>0</v>
      </c>
      <c r="U78" s="19" t="n">
        <v>0</v>
      </c>
      <c r="V78" s="19" t="n">
        <v>0</v>
      </c>
      <c r="W78" s="19" t="n">
        <v>0</v>
      </c>
      <c r="X78" s="19" t="n">
        <v>0</v>
      </c>
      <c r="Y78" s="19" t="n">
        <v>0</v>
      </c>
    </row>
    <row r="79" customFormat="false" ht="15" hidden="false" customHeight="true" outlineLevel="0" collapsed="false">
      <c r="A79" s="11" t="s">
        <v>197</v>
      </c>
      <c r="C79" s="19" t="n">
        <v>0.5818</v>
      </c>
      <c r="D79" s="19" t="n">
        <v>1.245</v>
      </c>
      <c r="E79" s="19" t="n">
        <v>2.0011</v>
      </c>
      <c r="F79" s="19" t="n">
        <v>2.8631</v>
      </c>
      <c r="G79" s="19" t="n">
        <v>3.8457</v>
      </c>
      <c r="H79" s="19" t="n">
        <v>4.9658</v>
      </c>
      <c r="I79" s="19" t="n">
        <v>6.2428</v>
      </c>
      <c r="J79" s="19" t="n">
        <v>7.1168</v>
      </c>
      <c r="K79" s="19" t="n">
        <v>6.4536</v>
      </c>
      <c r="L79" s="19" t="n">
        <v>5.6975</v>
      </c>
      <c r="M79" s="19" t="n">
        <v>4.8356</v>
      </c>
      <c r="N79" s="19" t="n">
        <v>3.853</v>
      </c>
      <c r="O79" s="19" t="n">
        <v>2.7328</v>
      </c>
      <c r="P79" s="19" t="n">
        <v>1.4558</v>
      </c>
      <c r="Q79" s="19" t="n">
        <v>0</v>
      </c>
      <c r="R79" s="19" t="n">
        <v>0</v>
      </c>
      <c r="S79" s="19" t="n">
        <v>0</v>
      </c>
      <c r="T79" s="19" t="n">
        <v>0</v>
      </c>
      <c r="U79" s="19" t="n">
        <v>0</v>
      </c>
      <c r="V79" s="19" t="n">
        <v>0</v>
      </c>
      <c r="W79" s="19" t="n">
        <v>0</v>
      </c>
      <c r="X79" s="19" t="n">
        <v>0</v>
      </c>
      <c r="Y79" s="19" t="n">
        <v>0</v>
      </c>
    </row>
    <row r="80" customFormat="false" ht="15" hidden="false" customHeight="true" outlineLevel="0" collapsed="false">
      <c r="A80" s="11" t="s">
        <v>198</v>
      </c>
      <c r="C80" s="19" t="n">
        <v>0.4543</v>
      </c>
      <c r="D80" s="19" t="n">
        <v>0.9722</v>
      </c>
      <c r="E80" s="19" t="n">
        <v>1.5626</v>
      </c>
      <c r="F80" s="19" t="n">
        <v>2.2356</v>
      </c>
      <c r="G80" s="19" t="n">
        <v>3.0029</v>
      </c>
      <c r="H80" s="19" t="n">
        <v>3.8776</v>
      </c>
      <c r="I80" s="19" t="n">
        <v>4.8747</v>
      </c>
      <c r="J80" s="19" t="n">
        <v>5.5572</v>
      </c>
      <c r="K80" s="19" t="n">
        <v>5.0393</v>
      </c>
      <c r="L80" s="19" t="n">
        <v>4.4489</v>
      </c>
      <c r="M80" s="19" t="n">
        <v>3.7758</v>
      </c>
      <c r="N80" s="19" t="n">
        <v>3.0086</v>
      </c>
      <c r="O80" s="19" t="n">
        <v>2.1339</v>
      </c>
      <c r="P80" s="19" t="n">
        <v>1.1367</v>
      </c>
      <c r="Q80" s="19" t="n">
        <v>0</v>
      </c>
      <c r="R80" s="19" t="n">
        <v>0</v>
      </c>
      <c r="S80" s="19" t="n">
        <v>0</v>
      </c>
      <c r="T80" s="19" t="n">
        <v>0</v>
      </c>
      <c r="U80" s="19" t="n">
        <v>0</v>
      </c>
      <c r="V80" s="19" t="n">
        <v>0</v>
      </c>
      <c r="W80" s="19" t="n">
        <v>0</v>
      </c>
      <c r="X80" s="19" t="n">
        <v>0</v>
      </c>
      <c r="Y80" s="19" t="n">
        <v>0</v>
      </c>
    </row>
    <row r="81" customFormat="false" ht="15" hidden="false" customHeight="true" outlineLevel="0" collapsed="false">
      <c r="A81" s="11" t="s">
        <v>199</v>
      </c>
      <c r="C81" s="19" t="n">
        <v>0.1678</v>
      </c>
      <c r="D81" s="19" t="n">
        <v>0.3591</v>
      </c>
      <c r="E81" s="19" t="n">
        <v>0.5771</v>
      </c>
      <c r="F81" s="19" t="n">
        <v>0.8257</v>
      </c>
      <c r="G81" s="19" t="n">
        <v>1.1091</v>
      </c>
      <c r="H81" s="19" t="n">
        <v>1.4321</v>
      </c>
      <c r="I81" s="19" t="n">
        <v>1.8004</v>
      </c>
      <c r="J81" s="19" t="n">
        <v>2.0525</v>
      </c>
      <c r="K81" s="19" t="n">
        <v>1.8612</v>
      </c>
      <c r="L81" s="19" t="n">
        <v>1.6432</v>
      </c>
      <c r="M81" s="19" t="n">
        <v>1.3946</v>
      </c>
      <c r="N81" s="19" t="n">
        <v>1.1112</v>
      </c>
      <c r="O81" s="19" t="n">
        <v>0.7881</v>
      </c>
      <c r="P81" s="19" t="n">
        <v>0.4198</v>
      </c>
      <c r="Q81" s="19" t="n">
        <v>0</v>
      </c>
      <c r="R81" s="19" t="n">
        <v>0</v>
      </c>
      <c r="S81" s="19" t="n">
        <v>0</v>
      </c>
      <c r="T81" s="19" t="n">
        <v>0</v>
      </c>
      <c r="U81" s="19" t="n">
        <v>0</v>
      </c>
      <c r="V81" s="19" t="n">
        <v>0</v>
      </c>
      <c r="W81" s="19" t="n">
        <v>0</v>
      </c>
      <c r="X81" s="19" t="n">
        <v>0</v>
      </c>
      <c r="Y81" s="19" t="n">
        <v>0</v>
      </c>
    </row>
    <row r="82" customFormat="false" ht="15" hidden="false" customHeight="true" outlineLevel="0" collapsed="false">
      <c r="A82" s="11" t="s">
        <v>200</v>
      </c>
      <c r="C82" s="19" t="n">
        <v>0</v>
      </c>
      <c r="D82" s="19" t="n">
        <v>0</v>
      </c>
      <c r="E82" s="19" t="n">
        <v>0</v>
      </c>
      <c r="F82" s="19" t="n">
        <v>0</v>
      </c>
      <c r="G82" s="19" t="n">
        <v>0</v>
      </c>
      <c r="H82" s="19" t="n">
        <v>0</v>
      </c>
      <c r="I82" s="19" t="n">
        <v>0</v>
      </c>
      <c r="J82" s="19" t="n">
        <v>0</v>
      </c>
      <c r="K82" s="19" t="n">
        <v>0</v>
      </c>
      <c r="L82" s="19" t="n">
        <v>0</v>
      </c>
      <c r="M82" s="19" t="n">
        <v>0</v>
      </c>
      <c r="N82" s="19" t="n">
        <v>0</v>
      </c>
      <c r="O82" s="19" t="n">
        <v>0</v>
      </c>
      <c r="P82" s="19" t="n">
        <v>0</v>
      </c>
      <c r="Q82" s="19" t="n">
        <v>0</v>
      </c>
      <c r="R82" s="19" t="n">
        <v>0</v>
      </c>
      <c r="S82" s="19" t="n">
        <v>0</v>
      </c>
      <c r="T82" s="19" t="n">
        <v>0</v>
      </c>
      <c r="U82" s="19" t="n">
        <v>0</v>
      </c>
      <c r="V82" s="19" t="n">
        <v>0</v>
      </c>
      <c r="W82" s="19" t="n">
        <v>0</v>
      </c>
      <c r="X82" s="19" t="n">
        <v>0</v>
      </c>
      <c r="Y82" s="19" t="n">
        <v>0</v>
      </c>
    </row>
    <row r="83" customFormat="false" ht="15" hidden="false" customHeight="true" outlineLevel="0" collapsed="false">
      <c r="A83" s="11" t="s">
        <v>201</v>
      </c>
      <c r="C83" s="19" t="n">
        <v>0.2851</v>
      </c>
      <c r="D83" s="19" t="n">
        <v>0.325</v>
      </c>
      <c r="E83" s="19" t="n">
        <v>0.3705</v>
      </c>
      <c r="F83" s="19" t="n">
        <v>0.4224</v>
      </c>
      <c r="G83" s="19" t="n">
        <v>0.4815</v>
      </c>
      <c r="H83" s="19" t="n">
        <v>0.5489</v>
      </c>
      <c r="I83" s="19" t="n">
        <v>0.6257</v>
      </c>
      <c r="J83" s="19" t="n">
        <v>0.7133</v>
      </c>
      <c r="K83" s="19" t="n">
        <v>0</v>
      </c>
      <c r="L83" s="19" t="n">
        <v>0</v>
      </c>
      <c r="M83" s="19" t="n">
        <v>0</v>
      </c>
      <c r="N83" s="19" t="n">
        <v>0</v>
      </c>
      <c r="O83" s="19" t="n">
        <v>0</v>
      </c>
      <c r="P83" s="19" t="n">
        <v>0</v>
      </c>
      <c r="Q83" s="19" t="n">
        <v>0</v>
      </c>
      <c r="R83" s="19" t="n">
        <v>0</v>
      </c>
      <c r="S83" s="19" t="n">
        <v>0</v>
      </c>
      <c r="T83" s="19" t="n">
        <v>0</v>
      </c>
      <c r="U83" s="19" t="n">
        <v>0</v>
      </c>
      <c r="V83" s="19" t="n">
        <v>0</v>
      </c>
      <c r="W83" s="19" t="n">
        <v>0</v>
      </c>
      <c r="X83" s="19" t="n">
        <v>0</v>
      </c>
      <c r="Y83" s="19" t="n">
        <v>0</v>
      </c>
    </row>
    <row r="85" customFormat="false" ht="15" hidden="false" customHeight="true" outlineLevel="0" collapsed="false">
      <c r="A85" s="77" t="s">
        <v>203</v>
      </c>
    </row>
    <row r="86" customFormat="false" ht="15" hidden="false" customHeight="true" outlineLevel="0" collapsed="false">
      <c r="A86" s="11" t="s">
        <v>195</v>
      </c>
      <c r="C86" s="19" t="n">
        <v>0</v>
      </c>
      <c r="D86" s="19" t="n">
        <v>0</v>
      </c>
      <c r="E86" s="19" t="n">
        <v>0</v>
      </c>
      <c r="F86" s="19" t="n">
        <v>0</v>
      </c>
      <c r="G86" s="19" t="n">
        <v>0</v>
      </c>
      <c r="H86" s="19" t="n">
        <v>0</v>
      </c>
      <c r="I86" s="19" t="n">
        <v>0</v>
      </c>
      <c r="J86" s="19" t="n">
        <v>0</v>
      </c>
      <c r="K86" s="19" t="n">
        <v>0</v>
      </c>
      <c r="L86" s="19" t="n">
        <v>0</v>
      </c>
      <c r="M86" s="19" t="n">
        <v>0</v>
      </c>
      <c r="N86" s="19" t="n">
        <v>0</v>
      </c>
      <c r="O86" s="19" t="n">
        <v>0</v>
      </c>
      <c r="P86" s="19" t="n">
        <v>0</v>
      </c>
      <c r="Q86" s="19" t="n">
        <v>0</v>
      </c>
      <c r="R86" s="19" t="n">
        <v>0</v>
      </c>
      <c r="S86" s="19" t="n">
        <v>0</v>
      </c>
      <c r="T86" s="19" t="n">
        <v>0</v>
      </c>
      <c r="U86" s="19" t="n">
        <v>0</v>
      </c>
      <c r="V86" s="19" t="n">
        <v>0</v>
      </c>
      <c r="W86" s="19" t="n">
        <v>0</v>
      </c>
      <c r="X86" s="19" t="n">
        <v>0</v>
      </c>
      <c r="Y86" s="19" t="n">
        <v>0</v>
      </c>
    </row>
    <row r="87" customFormat="false" ht="15" hidden="false" customHeight="true" outlineLevel="0" collapsed="false">
      <c r="A87" s="11" t="s">
        <v>196</v>
      </c>
      <c r="C87" s="19" t="n">
        <v>11.9167</v>
      </c>
      <c r="D87" s="19" t="n">
        <v>11.9167</v>
      </c>
      <c r="E87" s="19" t="n">
        <v>11.9167</v>
      </c>
      <c r="F87" s="19" t="n">
        <v>11.9167</v>
      </c>
      <c r="G87" s="19" t="n">
        <v>11.9167</v>
      </c>
      <c r="H87" s="19" t="n">
        <v>11.9167</v>
      </c>
      <c r="I87" s="19" t="n">
        <v>0</v>
      </c>
      <c r="J87" s="19" t="n">
        <v>0</v>
      </c>
      <c r="K87" s="19" t="n">
        <v>0</v>
      </c>
      <c r="L87" s="19" t="n">
        <v>0</v>
      </c>
      <c r="M87" s="19" t="n">
        <v>0</v>
      </c>
      <c r="N87" s="19" t="n">
        <v>0</v>
      </c>
      <c r="O87" s="19" t="n">
        <v>0</v>
      </c>
      <c r="P87" s="19" t="n">
        <v>0</v>
      </c>
      <c r="Q87" s="19" t="n">
        <v>0</v>
      </c>
      <c r="R87" s="19" t="n">
        <v>0</v>
      </c>
      <c r="S87" s="19" t="n">
        <v>0</v>
      </c>
      <c r="T87" s="19" t="n">
        <v>0</v>
      </c>
      <c r="U87" s="19" t="n">
        <v>0</v>
      </c>
      <c r="V87" s="19" t="n">
        <v>0</v>
      </c>
      <c r="W87" s="19" t="n">
        <v>0</v>
      </c>
      <c r="X87" s="19" t="n">
        <v>0</v>
      </c>
      <c r="Y87" s="19" t="n">
        <v>0</v>
      </c>
    </row>
    <row r="88" customFormat="false" ht="15" hidden="false" customHeight="true" outlineLevel="0" collapsed="false">
      <c r="A88" s="11" t="s">
        <v>197</v>
      </c>
      <c r="C88" s="19" t="n">
        <v>18.3333</v>
      </c>
      <c r="D88" s="19" t="n">
        <v>18.3333</v>
      </c>
      <c r="E88" s="19" t="n">
        <v>18.3333</v>
      </c>
      <c r="F88" s="19" t="n">
        <v>18.3333</v>
      </c>
      <c r="G88" s="19" t="n">
        <v>18.3333</v>
      </c>
      <c r="H88" s="19" t="n">
        <v>18.3333</v>
      </c>
      <c r="I88" s="19" t="n">
        <v>0</v>
      </c>
      <c r="J88" s="19" t="n">
        <v>0</v>
      </c>
      <c r="K88" s="19" t="n">
        <v>0</v>
      </c>
      <c r="L88" s="19" t="n">
        <v>0</v>
      </c>
      <c r="M88" s="19" t="n">
        <v>0</v>
      </c>
      <c r="N88" s="19" t="n">
        <v>0</v>
      </c>
      <c r="O88" s="19" t="n">
        <v>0</v>
      </c>
      <c r="P88" s="19" t="n">
        <v>0</v>
      </c>
      <c r="Q88" s="19" t="n">
        <v>0</v>
      </c>
      <c r="R88" s="19" t="n">
        <v>0</v>
      </c>
      <c r="S88" s="19" t="n">
        <v>0</v>
      </c>
      <c r="T88" s="19" t="n">
        <v>0</v>
      </c>
      <c r="U88" s="19" t="n">
        <v>0</v>
      </c>
      <c r="V88" s="19" t="n">
        <v>0</v>
      </c>
      <c r="W88" s="19" t="n">
        <v>0</v>
      </c>
      <c r="X88" s="19" t="n">
        <v>0</v>
      </c>
      <c r="Y88" s="19" t="n">
        <v>0</v>
      </c>
    </row>
    <row r="89" customFormat="false" ht="15" hidden="false" customHeight="true" outlineLevel="0" collapsed="false">
      <c r="A89" s="11" t="s">
        <v>198</v>
      </c>
      <c r="C89" s="19" t="n">
        <v>11</v>
      </c>
      <c r="D89" s="19" t="n">
        <v>11</v>
      </c>
      <c r="E89" s="19" t="n">
        <v>11</v>
      </c>
      <c r="F89" s="19" t="n">
        <v>11</v>
      </c>
      <c r="G89" s="19" t="n">
        <v>11</v>
      </c>
      <c r="H89" s="19" t="n">
        <v>11</v>
      </c>
      <c r="I89" s="19" t="n">
        <v>0</v>
      </c>
      <c r="J89" s="19" t="n">
        <v>0</v>
      </c>
      <c r="K89" s="19" t="n">
        <v>0</v>
      </c>
      <c r="L89" s="19" t="n">
        <v>0</v>
      </c>
      <c r="M89" s="19" t="n">
        <v>0</v>
      </c>
      <c r="N89" s="19" t="n">
        <v>0</v>
      </c>
      <c r="O89" s="19" t="n">
        <v>0</v>
      </c>
      <c r="P89" s="19" t="n">
        <v>0</v>
      </c>
      <c r="Q89" s="19" t="n">
        <v>0</v>
      </c>
      <c r="R89" s="19" t="n">
        <v>0</v>
      </c>
      <c r="S89" s="19" t="n">
        <v>0</v>
      </c>
      <c r="T89" s="19" t="n">
        <v>0</v>
      </c>
      <c r="U89" s="19" t="n">
        <v>0</v>
      </c>
      <c r="V89" s="19" t="n">
        <v>0</v>
      </c>
      <c r="W89" s="19" t="n">
        <v>0</v>
      </c>
      <c r="X89" s="19" t="n">
        <v>0</v>
      </c>
      <c r="Y89" s="19" t="n">
        <v>0</v>
      </c>
    </row>
    <row r="90" customFormat="false" ht="15" hidden="false" customHeight="true" outlineLevel="0" collapsed="false">
      <c r="A90" s="11" t="s">
        <v>199</v>
      </c>
      <c r="C90" s="19" t="n">
        <v>4.62</v>
      </c>
      <c r="D90" s="19" t="n">
        <v>4.62</v>
      </c>
      <c r="E90" s="19" t="n">
        <v>4.62</v>
      </c>
      <c r="F90" s="19" t="n">
        <v>4.62</v>
      </c>
      <c r="G90" s="19" t="n">
        <v>4.62</v>
      </c>
      <c r="H90" s="19" t="n">
        <v>4.62</v>
      </c>
      <c r="I90" s="19" t="n">
        <v>0</v>
      </c>
      <c r="J90" s="19" t="n">
        <v>0</v>
      </c>
      <c r="K90" s="19" t="n">
        <v>0</v>
      </c>
      <c r="L90" s="19" t="n">
        <v>0</v>
      </c>
      <c r="M90" s="19" t="n">
        <v>0</v>
      </c>
      <c r="N90" s="19" t="n">
        <v>0</v>
      </c>
      <c r="O90" s="19" t="n">
        <v>0</v>
      </c>
      <c r="P90" s="19" t="n">
        <v>0</v>
      </c>
      <c r="Q90" s="19" t="n">
        <v>0</v>
      </c>
      <c r="R90" s="19" t="n">
        <v>0</v>
      </c>
      <c r="S90" s="19" t="n">
        <v>0</v>
      </c>
      <c r="T90" s="19" t="n">
        <v>0</v>
      </c>
      <c r="U90" s="19" t="n">
        <v>0</v>
      </c>
      <c r="V90" s="19" t="n">
        <v>0</v>
      </c>
      <c r="W90" s="19" t="n">
        <v>0</v>
      </c>
      <c r="X90" s="19" t="n">
        <v>0</v>
      </c>
      <c r="Y90" s="19" t="n">
        <v>0</v>
      </c>
    </row>
    <row r="91" customFormat="false" ht="15" hidden="false" customHeight="true" outlineLevel="0" collapsed="false">
      <c r="A91" s="11" t="s">
        <v>200</v>
      </c>
      <c r="C91" s="19" t="n">
        <v>0</v>
      </c>
      <c r="D91" s="19" t="n">
        <v>0</v>
      </c>
      <c r="E91" s="19" t="n">
        <v>0</v>
      </c>
      <c r="F91" s="19" t="n">
        <v>0</v>
      </c>
      <c r="G91" s="19" t="n">
        <v>0</v>
      </c>
      <c r="H91" s="19" t="n">
        <v>0</v>
      </c>
      <c r="I91" s="19" t="n">
        <v>0</v>
      </c>
      <c r="J91" s="19" t="n">
        <v>0</v>
      </c>
      <c r="K91" s="19" t="n">
        <v>0</v>
      </c>
      <c r="L91" s="19" t="n">
        <v>0</v>
      </c>
      <c r="M91" s="19" t="n">
        <v>0</v>
      </c>
      <c r="N91" s="19" t="n">
        <v>0</v>
      </c>
      <c r="O91" s="19" t="n">
        <v>0</v>
      </c>
      <c r="P91" s="19" t="n">
        <v>0</v>
      </c>
      <c r="Q91" s="19" t="n">
        <v>0</v>
      </c>
      <c r="R91" s="19" t="n">
        <v>0</v>
      </c>
      <c r="S91" s="19" t="n">
        <v>0</v>
      </c>
      <c r="T91" s="19" t="n">
        <v>0</v>
      </c>
      <c r="U91" s="19" t="n">
        <v>0</v>
      </c>
      <c r="V91" s="19" t="n">
        <v>0</v>
      </c>
      <c r="W91" s="19" t="n">
        <v>0</v>
      </c>
      <c r="X91" s="19" t="n">
        <v>0</v>
      </c>
      <c r="Y91" s="19" t="n">
        <v>0</v>
      </c>
    </row>
    <row r="92" customFormat="false" ht="15" hidden="false" customHeight="true" outlineLevel="0" collapsed="false">
      <c r="A92" s="11" t="s">
        <v>201</v>
      </c>
      <c r="C92" s="19" t="n">
        <v>0</v>
      </c>
      <c r="D92" s="19" t="n">
        <v>0</v>
      </c>
      <c r="E92" s="19" t="n">
        <v>0</v>
      </c>
      <c r="F92" s="19" t="n">
        <v>0</v>
      </c>
      <c r="G92" s="19" t="n">
        <v>0</v>
      </c>
      <c r="H92" s="19" t="n">
        <v>0</v>
      </c>
      <c r="I92" s="19" t="n">
        <v>0</v>
      </c>
      <c r="J92" s="19" t="n">
        <v>0</v>
      </c>
      <c r="K92" s="19" t="n">
        <v>0</v>
      </c>
      <c r="L92" s="19" t="n">
        <v>0</v>
      </c>
      <c r="M92" s="19" t="n">
        <v>0</v>
      </c>
      <c r="N92" s="19" t="n">
        <v>0</v>
      </c>
      <c r="O92" s="19" t="n">
        <v>0</v>
      </c>
      <c r="P92" s="19" t="n">
        <v>0</v>
      </c>
      <c r="Q92" s="19" t="n">
        <v>0</v>
      </c>
      <c r="R92" s="19" t="n">
        <v>0</v>
      </c>
      <c r="S92" s="19" t="n">
        <v>0</v>
      </c>
      <c r="T92" s="19" t="n">
        <v>0</v>
      </c>
      <c r="U92" s="19" t="n">
        <v>0</v>
      </c>
      <c r="V92" s="19" t="n">
        <v>0</v>
      </c>
      <c r="W92" s="19" t="n">
        <v>0</v>
      </c>
      <c r="X92" s="19" t="n">
        <v>0</v>
      </c>
      <c r="Y92" s="19" t="n">
        <v>0</v>
      </c>
    </row>
    <row r="94" customFormat="false" ht="15" hidden="false" customHeight="true" outlineLevel="0" collapsed="false">
      <c r="A94" s="77"/>
    </row>
    <row r="95" customFormat="false" ht="15" hidden="false" customHeight="true" outlineLevel="0" collapsed="false">
      <c r="A95" s="11"/>
      <c r="C95" s="19"/>
      <c r="D95" s="19"/>
      <c r="E95" s="19"/>
      <c r="F95" s="19"/>
      <c r="G95" s="19"/>
      <c r="H95" s="19"/>
      <c r="I95" s="19"/>
      <c r="J95" s="19"/>
      <c r="K95" s="19"/>
      <c r="L95" s="19"/>
      <c r="M95" s="19"/>
      <c r="N95" s="19"/>
      <c r="O95" s="19"/>
      <c r="P95" s="19"/>
      <c r="Q95" s="19"/>
      <c r="R95" s="19"/>
      <c r="S95" s="19"/>
      <c r="T95" s="19"/>
      <c r="U95" s="19"/>
      <c r="V95" s="19"/>
      <c r="W95" s="19"/>
      <c r="X95" s="19"/>
      <c r="Y95" s="19"/>
    </row>
    <row r="96" customFormat="false" ht="15" hidden="false" customHeight="true" outlineLevel="0" collapsed="false">
      <c r="A96" s="11"/>
      <c r="C96" s="19"/>
      <c r="D96" s="19"/>
      <c r="E96" s="19"/>
      <c r="F96" s="19"/>
      <c r="G96" s="19"/>
      <c r="H96" s="19"/>
      <c r="I96" s="19"/>
      <c r="J96" s="19"/>
      <c r="K96" s="19"/>
      <c r="L96" s="19"/>
      <c r="M96" s="19"/>
      <c r="N96" s="19"/>
      <c r="O96" s="19"/>
      <c r="P96" s="19"/>
      <c r="Q96" s="19"/>
      <c r="R96" s="19"/>
      <c r="S96" s="19"/>
      <c r="T96" s="19"/>
      <c r="U96" s="19"/>
      <c r="V96" s="19"/>
      <c r="W96" s="19"/>
      <c r="X96" s="19"/>
      <c r="Y96" s="19"/>
    </row>
    <row r="97" customFormat="false" ht="15" hidden="false" customHeight="true" outlineLevel="0" collapsed="false">
      <c r="A97" s="11"/>
      <c r="C97" s="19"/>
      <c r="D97" s="19"/>
      <c r="E97" s="19"/>
      <c r="F97" s="19"/>
      <c r="G97" s="19"/>
      <c r="H97" s="19"/>
      <c r="I97" s="19"/>
      <c r="J97" s="19"/>
      <c r="K97" s="19"/>
      <c r="L97" s="19"/>
      <c r="M97" s="19"/>
      <c r="N97" s="19"/>
      <c r="O97" s="19"/>
      <c r="P97" s="19"/>
      <c r="Q97" s="19"/>
      <c r="R97" s="19"/>
      <c r="S97" s="19"/>
      <c r="T97" s="19"/>
      <c r="U97" s="19"/>
      <c r="V97" s="19"/>
      <c r="W97" s="19"/>
      <c r="X97" s="19"/>
      <c r="Y97" s="19"/>
    </row>
    <row r="98" customFormat="false" ht="15" hidden="false" customHeight="true" outlineLevel="0" collapsed="false">
      <c r="A98" s="11"/>
      <c r="C98" s="19"/>
      <c r="D98" s="19"/>
      <c r="E98" s="19"/>
      <c r="F98" s="19"/>
      <c r="G98" s="19"/>
      <c r="H98" s="19"/>
      <c r="I98" s="19"/>
      <c r="J98" s="19"/>
      <c r="K98" s="19"/>
      <c r="L98" s="19"/>
      <c r="M98" s="19"/>
      <c r="N98" s="19"/>
      <c r="O98" s="19"/>
      <c r="P98" s="19"/>
      <c r="Q98" s="19"/>
      <c r="R98" s="19"/>
      <c r="S98" s="19"/>
      <c r="T98" s="19"/>
      <c r="U98" s="19"/>
      <c r="V98" s="19"/>
      <c r="W98" s="19"/>
      <c r="X98" s="19"/>
      <c r="Y98" s="19"/>
    </row>
    <row r="99" customFormat="false" ht="15" hidden="false" customHeight="true" outlineLevel="0" collapsed="false">
      <c r="A99" s="11"/>
      <c r="C99" s="19"/>
      <c r="D99" s="19"/>
      <c r="E99" s="19"/>
      <c r="F99" s="19"/>
      <c r="G99" s="19"/>
      <c r="H99" s="19"/>
      <c r="I99" s="19"/>
      <c r="J99" s="19"/>
      <c r="K99" s="19"/>
      <c r="L99" s="19"/>
      <c r="M99" s="19"/>
      <c r="N99" s="19"/>
      <c r="O99" s="19"/>
      <c r="P99" s="19"/>
      <c r="Q99" s="19"/>
      <c r="R99" s="19"/>
      <c r="S99" s="19"/>
      <c r="T99" s="19"/>
      <c r="U99" s="19"/>
      <c r="V99" s="19"/>
      <c r="W99" s="19"/>
      <c r="X99" s="19"/>
      <c r="Y99" s="19"/>
    </row>
    <row r="100" customFormat="false" ht="15" hidden="false" customHeight="true" outlineLevel="0" collapsed="false">
      <c r="A100" s="11"/>
      <c r="C100" s="19"/>
      <c r="D100" s="19"/>
      <c r="E100" s="19"/>
      <c r="F100" s="19"/>
      <c r="G100" s="19"/>
      <c r="H100" s="19"/>
      <c r="I100" s="19"/>
      <c r="J100" s="19"/>
      <c r="K100" s="19"/>
      <c r="L100" s="19"/>
      <c r="M100" s="19"/>
      <c r="N100" s="19"/>
      <c r="O100" s="19"/>
      <c r="P100" s="19"/>
      <c r="Q100" s="19"/>
      <c r="R100" s="19"/>
      <c r="S100" s="19"/>
      <c r="T100" s="19"/>
      <c r="U100" s="19"/>
      <c r="V100" s="19"/>
      <c r="W100" s="19"/>
      <c r="X100" s="19"/>
      <c r="Y100" s="19"/>
    </row>
    <row r="101" customFormat="false" ht="15" hidden="false" customHeight="true" outlineLevel="0" collapsed="false">
      <c r="A101" s="11"/>
      <c r="C101" s="19"/>
      <c r="D101" s="19"/>
      <c r="E101" s="19"/>
      <c r="F101" s="19"/>
      <c r="G101" s="19"/>
      <c r="H101" s="19"/>
      <c r="I101" s="19"/>
      <c r="J101" s="19"/>
      <c r="K101" s="19"/>
      <c r="L101" s="19"/>
      <c r="M101" s="19"/>
      <c r="N101" s="19"/>
      <c r="O101" s="19"/>
      <c r="P101" s="19"/>
      <c r="Q101" s="19"/>
      <c r="R101" s="19"/>
      <c r="S101" s="19"/>
      <c r="T101" s="19"/>
      <c r="U101" s="19"/>
      <c r="V101" s="19"/>
      <c r="W101" s="19"/>
      <c r="X101" s="19"/>
      <c r="Y101" s="19"/>
    </row>
    <row r="103" customFormat="false" ht="15" hidden="false" customHeight="true" outlineLevel="0" collapsed="false">
      <c r="A103" s="77"/>
    </row>
    <row r="104" customFormat="false" ht="15" hidden="false" customHeight="true" outlineLevel="0" collapsed="false">
      <c r="A104" s="11"/>
      <c r="C104" s="19"/>
      <c r="D104" s="19"/>
      <c r="E104" s="19"/>
      <c r="F104" s="19"/>
      <c r="G104" s="19"/>
      <c r="H104" s="19"/>
      <c r="I104" s="19"/>
      <c r="J104" s="19"/>
      <c r="K104" s="19"/>
      <c r="L104" s="19"/>
      <c r="M104" s="19"/>
      <c r="N104" s="19"/>
      <c r="O104" s="19"/>
      <c r="P104" s="19"/>
      <c r="Q104" s="19"/>
      <c r="R104" s="19"/>
      <c r="S104" s="19"/>
      <c r="T104" s="19"/>
      <c r="U104" s="19"/>
      <c r="V104" s="19"/>
      <c r="W104" s="19"/>
      <c r="X104" s="19"/>
      <c r="Y104" s="19"/>
    </row>
    <row r="105" customFormat="false" ht="15" hidden="false" customHeight="true" outlineLevel="0" collapsed="false">
      <c r="A105" s="11"/>
      <c r="C105" s="19"/>
      <c r="D105" s="19"/>
      <c r="E105" s="19"/>
      <c r="F105" s="19"/>
      <c r="G105" s="19"/>
      <c r="H105" s="19"/>
      <c r="I105" s="19"/>
      <c r="J105" s="19"/>
      <c r="K105" s="19"/>
      <c r="L105" s="19"/>
      <c r="M105" s="19"/>
      <c r="N105" s="19"/>
      <c r="O105" s="19"/>
      <c r="P105" s="19"/>
      <c r="Q105" s="19"/>
      <c r="R105" s="19"/>
      <c r="S105" s="19"/>
      <c r="T105" s="19"/>
      <c r="U105" s="19"/>
      <c r="V105" s="19"/>
      <c r="W105" s="19"/>
      <c r="X105" s="19"/>
      <c r="Y105" s="19"/>
    </row>
    <row r="106" customFormat="false" ht="15" hidden="false" customHeight="true" outlineLevel="0" collapsed="false">
      <c r="A106" s="11"/>
      <c r="C106" s="19"/>
      <c r="D106" s="19"/>
      <c r="E106" s="19"/>
      <c r="F106" s="19"/>
      <c r="G106" s="19"/>
      <c r="H106" s="19"/>
      <c r="I106" s="19"/>
      <c r="J106" s="19"/>
      <c r="K106" s="19"/>
      <c r="L106" s="19"/>
      <c r="M106" s="19"/>
      <c r="N106" s="19"/>
      <c r="O106" s="19"/>
      <c r="P106" s="19"/>
      <c r="Q106" s="19"/>
      <c r="R106" s="19"/>
      <c r="S106" s="19"/>
      <c r="T106" s="19"/>
      <c r="U106" s="19"/>
      <c r="V106" s="19"/>
      <c r="W106" s="19"/>
      <c r="X106" s="19"/>
      <c r="Y106" s="19"/>
    </row>
    <row r="107" customFormat="false" ht="15" hidden="false" customHeight="true" outlineLevel="0" collapsed="false">
      <c r="A107" s="11"/>
      <c r="C107" s="19"/>
      <c r="D107" s="19"/>
      <c r="E107" s="19"/>
      <c r="F107" s="19"/>
      <c r="G107" s="19"/>
      <c r="H107" s="19"/>
      <c r="I107" s="19"/>
      <c r="J107" s="19"/>
      <c r="K107" s="19"/>
      <c r="L107" s="19"/>
      <c r="M107" s="19"/>
      <c r="N107" s="19"/>
      <c r="O107" s="19"/>
      <c r="P107" s="19"/>
      <c r="Q107" s="19"/>
      <c r="R107" s="19"/>
      <c r="S107" s="19"/>
      <c r="T107" s="19"/>
      <c r="U107" s="19"/>
      <c r="V107" s="19"/>
      <c r="W107" s="19"/>
      <c r="X107" s="19"/>
      <c r="Y107" s="19"/>
    </row>
    <row r="108" customFormat="false" ht="15" hidden="false" customHeight="true" outlineLevel="0" collapsed="false">
      <c r="A108" s="11"/>
      <c r="C108" s="19"/>
      <c r="D108" s="19"/>
      <c r="E108" s="19"/>
      <c r="F108" s="19"/>
      <c r="G108" s="19"/>
      <c r="H108" s="19"/>
      <c r="I108" s="19"/>
      <c r="J108" s="19"/>
      <c r="K108" s="19"/>
      <c r="L108" s="19"/>
      <c r="M108" s="19"/>
      <c r="N108" s="19"/>
      <c r="O108" s="19"/>
      <c r="P108" s="19"/>
      <c r="Q108" s="19"/>
      <c r="R108" s="19"/>
      <c r="S108" s="19"/>
      <c r="T108" s="19"/>
      <c r="U108" s="19"/>
      <c r="V108" s="19"/>
      <c r="W108" s="19"/>
      <c r="X108" s="19"/>
      <c r="Y108" s="19"/>
    </row>
    <row r="109" customFormat="false" ht="15" hidden="false" customHeight="true" outlineLevel="0" collapsed="false">
      <c r="A109" s="11"/>
      <c r="C109" s="19"/>
      <c r="D109" s="19"/>
      <c r="E109" s="19"/>
      <c r="F109" s="19"/>
      <c r="G109" s="19"/>
      <c r="H109" s="19"/>
      <c r="I109" s="19"/>
      <c r="J109" s="19"/>
      <c r="K109" s="19"/>
      <c r="L109" s="19"/>
      <c r="M109" s="19"/>
      <c r="N109" s="19"/>
      <c r="O109" s="19"/>
      <c r="P109" s="19"/>
      <c r="Q109" s="19"/>
      <c r="R109" s="19"/>
      <c r="S109" s="19"/>
      <c r="T109" s="19"/>
      <c r="U109" s="19"/>
      <c r="V109" s="19"/>
      <c r="W109" s="19"/>
      <c r="X109" s="19"/>
      <c r="Y109" s="19"/>
    </row>
    <row r="110" customFormat="false" ht="15" hidden="false" customHeight="true" outlineLevel="0" collapsed="false">
      <c r="A110" s="11"/>
      <c r="C110" s="19"/>
      <c r="D110" s="19"/>
      <c r="E110" s="19"/>
      <c r="F110" s="19"/>
      <c r="G110" s="19"/>
      <c r="H110" s="19"/>
      <c r="I110" s="19"/>
      <c r="J110" s="19"/>
      <c r="K110" s="19"/>
      <c r="L110" s="19"/>
      <c r="M110" s="19"/>
      <c r="N110" s="19"/>
      <c r="O110" s="19"/>
      <c r="P110" s="19"/>
      <c r="Q110" s="19"/>
      <c r="R110" s="19"/>
      <c r="S110" s="19"/>
      <c r="T110" s="19"/>
      <c r="U110" s="19"/>
      <c r="V110" s="19"/>
      <c r="W110" s="19"/>
      <c r="X110" s="19"/>
      <c r="Y110" s="19"/>
    </row>
    <row r="112" customFormat="false" ht="15" hidden="false" customHeight="true" outlineLevel="0" collapsed="false">
      <c r="A112" s="77"/>
    </row>
    <row r="113" customFormat="false" ht="15" hidden="false" customHeight="true" outlineLevel="0" collapsed="false">
      <c r="A113" s="11"/>
      <c r="C113" s="19"/>
      <c r="D113" s="19"/>
      <c r="E113" s="19"/>
      <c r="F113" s="19"/>
      <c r="G113" s="19"/>
      <c r="H113" s="19"/>
      <c r="I113" s="19"/>
      <c r="J113" s="19"/>
      <c r="K113" s="19"/>
      <c r="L113" s="19"/>
      <c r="M113" s="19"/>
      <c r="N113" s="19"/>
      <c r="O113" s="19"/>
      <c r="P113" s="19"/>
      <c r="Q113" s="19"/>
      <c r="R113" s="19"/>
      <c r="S113" s="19"/>
      <c r="T113" s="19"/>
      <c r="U113" s="19"/>
      <c r="V113" s="19"/>
      <c r="W113" s="19"/>
      <c r="X113" s="19"/>
      <c r="Y113" s="19"/>
    </row>
    <row r="114" customFormat="false" ht="15" hidden="false" customHeight="true" outlineLevel="0" collapsed="false">
      <c r="A114" s="11"/>
      <c r="C114" s="19"/>
      <c r="D114" s="19"/>
      <c r="E114" s="19"/>
      <c r="F114" s="19"/>
      <c r="G114" s="19"/>
      <c r="H114" s="19"/>
      <c r="I114" s="19"/>
      <c r="J114" s="19"/>
      <c r="K114" s="19"/>
      <c r="L114" s="19"/>
      <c r="M114" s="19"/>
      <c r="N114" s="19"/>
      <c r="O114" s="19"/>
      <c r="P114" s="19"/>
      <c r="Q114" s="19"/>
      <c r="R114" s="19"/>
      <c r="S114" s="19"/>
      <c r="T114" s="19"/>
      <c r="U114" s="19"/>
      <c r="V114" s="19"/>
      <c r="W114" s="19"/>
      <c r="X114" s="19"/>
      <c r="Y114" s="19"/>
    </row>
    <row r="115" customFormat="false" ht="15" hidden="false" customHeight="true" outlineLevel="0" collapsed="false">
      <c r="A115" s="11"/>
      <c r="C115" s="19"/>
      <c r="D115" s="19"/>
      <c r="E115" s="19"/>
      <c r="F115" s="19"/>
      <c r="G115" s="19"/>
      <c r="H115" s="19"/>
      <c r="I115" s="19"/>
      <c r="J115" s="19"/>
      <c r="K115" s="19"/>
      <c r="L115" s="19"/>
      <c r="M115" s="19"/>
      <c r="N115" s="19"/>
      <c r="O115" s="19"/>
      <c r="P115" s="19"/>
      <c r="Q115" s="19"/>
      <c r="R115" s="19"/>
      <c r="S115" s="19"/>
      <c r="T115" s="19"/>
      <c r="U115" s="19"/>
      <c r="V115" s="19"/>
      <c r="W115" s="19"/>
      <c r="X115" s="19"/>
      <c r="Y115" s="19"/>
    </row>
    <row r="116" customFormat="false" ht="15" hidden="false" customHeight="true" outlineLevel="0" collapsed="false">
      <c r="A116" s="11"/>
      <c r="C116" s="19"/>
      <c r="D116" s="19"/>
      <c r="E116" s="19"/>
      <c r="F116" s="19"/>
      <c r="G116" s="19"/>
      <c r="H116" s="19"/>
      <c r="I116" s="19"/>
      <c r="J116" s="19"/>
      <c r="K116" s="19"/>
      <c r="L116" s="19"/>
      <c r="M116" s="19"/>
      <c r="N116" s="19"/>
      <c r="O116" s="19"/>
      <c r="P116" s="19"/>
      <c r="Q116" s="19"/>
      <c r="R116" s="19"/>
      <c r="S116" s="19"/>
      <c r="T116" s="19"/>
      <c r="U116" s="19"/>
      <c r="V116" s="19"/>
      <c r="W116" s="19"/>
      <c r="X116" s="19"/>
      <c r="Y116" s="19"/>
    </row>
    <row r="117" customFormat="false" ht="15" hidden="false" customHeight="true" outlineLevel="0" collapsed="false">
      <c r="A117" s="11"/>
      <c r="C117" s="19"/>
      <c r="D117" s="19"/>
      <c r="E117" s="19"/>
      <c r="F117" s="19"/>
      <c r="G117" s="19"/>
      <c r="H117" s="19"/>
      <c r="I117" s="19"/>
      <c r="J117" s="19"/>
      <c r="K117" s="19"/>
      <c r="L117" s="19"/>
      <c r="M117" s="19"/>
      <c r="N117" s="19"/>
      <c r="O117" s="19"/>
      <c r="P117" s="19"/>
      <c r="Q117" s="19"/>
      <c r="R117" s="19"/>
      <c r="S117" s="19"/>
      <c r="T117" s="19"/>
      <c r="U117" s="19"/>
      <c r="V117" s="19"/>
      <c r="W117" s="19"/>
      <c r="X117" s="19"/>
      <c r="Y117" s="19"/>
    </row>
    <row r="118" customFormat="false" ht="15" hidden="false" customHeight="true" outlineLevel="0" collapsed="false">
      <c r="A118" s="11"/>
      <c r="C118" s="19"/>
      <c r="D118" s="19"/>
      <c r="E118" s="19"/>
      <c r="F118" s="19"/>
      <c r="G118" s="19"/>
      <c r="H118" s="19"/>
      <c r="I118" s="19"/>
      <c r="J118" s="19"/>
      <c r="K118" s="19"/>
      <c r="L118" s="19"/>
      <c r="M118" s="19"/>
      <c r="N118" s="19"/>
      <c r="O118" s="19"/>
      <c r="P118" s="19"/>
      <c r="Q118" s="19"/>
      <c r="R118" s="19"/>
      <c r="S118" s="19"/>
      <c r="T118" s="19"/>
      <c r="U118" s="19"/>
      <c r="V118" s="19"/>
      <c r="W118" s="19"/>
      <c r="X118" s="19"/>
      <c r="Y118" s="19"/>
    </row>
    <row r="119" customFormat="false" ht="15" hidden="false" customHeight="true" outlineLevel="0" collapsed="false">
      <c r="A119" s="11"/>
      <c r="C119" s="19"/>
      <c r="D119" s="19"/>
      <c r="E119" s="19"/>
      <c r="F119" s="19"/>
      <c r="G119" s="19"/>
      <c r="H119" s="19"/>
      <c r="I119" s="19"/>
      <c r="J119" s="19"/>
      <c r="K119" s="19"/>
      <c r="L119" s="19"/>
      <c r="M119" s="19"/>
      <c r="N119" s="19"/>
      <c r="O119" s="19"/>
      <c r="P119" s="19"/>
      <c r="Q119" s="19"/>
      <c r="R119" s="19"/>
      <c r="S119" s="19"/>
      <c r="T119" s="19"/>
      <c r="U119" s="19"/>
      <c r="V119" s="19"/>
      <c r="W119" s="19"/>
      <c r="X119" s="19"/>
      <c r="Y119" s="19"/>
    </row>
    <row r="121" customFormat="false" ht="15" hidden="false" customHeight="true" outlineLevel="0" collapsed="false">
      <c r="A121" s="77"/>
    </row>
    <row r="122" customFormat="false" ht="15" hidden="false" customHeight="true" outlineLevel="0" collapsed="false">
      <c r="A122" s="11"/>
      <c r="C122" s="19"/>
      <c r="D122" s="19"/>
      <c r="E122" s="19"/>
      <c r="F122" s="19"/>
      <c r="G122" s="19"/>
      <c r="H122" s="19"/>
      <c r="I122" s="19"/>
      <c r="J122" s="19"/>
      <c r="K122" s="19"/>
      <c r="L122" s="19"/>
      <c r="M122" s="19"/>
      <c r="N122" s="19"/>
      <c r="O122" s="19"/>
      <c r="P122" s="19"/>
      <c r="Q122" s="19"/>
      <c r="R122" s="19"/>
      <c r="S122" s="19"/>
      <c r="T122" s="19"/>
      <c r="U122" s="19"/>
      <c r="V122" s="19"/>
      <c r="W122" s="19"/>
      <c r="X122" s="19"/>
      <c r="Y122" s="19"/>
    </row>
    <row r="123" customFormat="false" ht="15" hidden="false" customHeight="true" outlineLevel="0" collapsed="false">
      <c r="A123" s="11"/>
      <c r="C123" s="19"/>
      <c r="D123" s="19"/>
      <c r="E123" s="19"/>
      <c r="F123" s="19"/>
      <c r="G123" s="19"/>
      <c r="H123" s="19"/>
      <c r="I123" s="19"/>
      <c r="J123" s="19"/>
      <c r="K123" s="19"/>
      <c r="L123" s="19"/>
      <c r="M123" s="19"/>
      <c r="N123" s="19"/>
      <c r="O123" s="19"/>
      <c r="P123" s="19"/>
      <c r="Q123" s="19"/>
      <c r="R123" s="19"/>
      <c r="S123" s="19"/>
      <c r="T123" s="19"/>
      <c r="U123" s="19"/>
      <c r="V123" s="19"/>
      <c r="W123" s="19"/>
      <c r="X123" s="19"/>
      <c r="Y123" s="19"/>
    </row>
    <row r="124" customFormat="false" ht="15" hidden="false" customHeight="true" outlineLevel="0" collapsed="false">
      <c r="A124" s="11"/>
      <c r="C124" s="19"/>
      <c r="D124" s="19"/>
      <c r="E124" s="19"/>
      <c r="F124" s="19"/>
      <c r="G124" s="19"/>
      <c r="H124" s="19"/>
      <c r="I124" s="19"/>
      <c r="J124" s="19"/>
      <c r="K124" s="19"/>
      <c r="L124" s="19"/>
      <c r="M124" s="19"/>
      <c r="N124" s="19"/>
      <c r="O124" s="19"/>
      <c r="P124" s="19"/>
      <c r="Q124" s="19"/>
      <c r="R124" s="19"/>
      <c r="S124" s="19"/>
      <c r="T124" s="19"/>
      <c r="U124" s="19"/>
      <c r="V124" s="19"/>
      <c r="W124" s="19"/>
      <c r="X124" s="19"/>
      <c r="Y124" s="19"/>
    </row>
    <row r="125" customFormat="false" ht="15" hidden="false" customHeight="true" outlineLevel="0" collapsed="false">
      <c r="A125" s="11"/>
      <c r="C125" s="19"/>
      <c r="D125" s="19"/>
      <c r="E125" s="19"/>
      <c r="F125" s="19"/>
      <c r="G125" s="19"/>
      <c r="H125" s="19"/>
      <c r="I125" s="19"/>
      <c r="J125" s="19"/>
      <c r="K125" s="19"/>
      <c r="L125" s="19"/>
      <c r="M125" s="19"/>
      <c r="N125" s="19"/>
      <c r="O125" s="19"/>
      <c r="P125" s="19"/>
      <c r="Q125" s="19"/>
      <c r="R125" s="19"/>
      <c r="S125" s="19"/>
      <c r="T125" s="19"/>
      <c r="U125" s="19"/>
      <c r="V125" s="19"/>
      <c r="W125" s="19"/>
      <c r="X125" s="19"/>
      <c r="Y125" s="19"/>
    </row>
    <row r="126" customFormat="false" ht="15" hidden="false" customHeight="true" outlineLevel="0" collapsed="false">
      <c r="A126" s="11"/>
      <c r="C126" s="19"/>
      <c r="D126" s="19"/>
      <c r="E126" s="19"/>
      <c r="F126" s="19"/>
      <c r="G126" s="19"/>
      <c r="H126" s="19"/>
      <c r="I126" s="19"/>
      <c r="J126" s="19"/>
      <c r="K126" s="19"/>
      <c r="L126" s="19"/>
      <c r="M126" s="19"/>
      <c r="N126" s="19"/>
      <c r="O126" s="19"/>
      <c r="P126" s="19"/>
      <c r="Q126" s="19"/>
      <c r="R126" s="19"/>
      <c r="S126" s="19"/>
      <c r="T126" s="19"/>
      <c r="U126" s="19"/>
      <c r="V126" s="19"/>
      <c r="W126" s="19"/>
      <c r="X126" s="19"/>
      <c r="Y126" s="19"/>
    </row>
    <row r="127" customFormat="false" ht="15" hidden="false" customHeight="true" outlineLevel="0" collapsed="false">
      <c r="A127" s="11"/>
      <c r="C127" s="19"/>
      <c r="D127" s="19"/>
      <c r="E127" s="19"/>
      <c r="F127" s="19"/>
      <c r="G127" s="19"/>
      <c r="H127" s="19"/>
      <c r="I127" s="19"/>
      <c r="J127" s="19"/>
      <c r="K127" s="19"/>
      <c r="L127" s="19"/>
      <c r="M127" s="19"/>
      <c r="N127" s="19"/>
      <c r="O127" s="19"/>
      <c r="P127" s="19"/>
      <c r="Q127" s="19"/>
      <c r="R127" s="19"/>
      <c r="S127" s="19"/>
      <c r="T127" s="19"/>
      <c r="U127" s="19"/>
      <c r="V127" s="19"/>
      <c r="W127" s="19"/>
      <c r="X127" s="19"/>
      <c r="Y127" s="19"/>
    </row>
    <row r="128" customFormat="false" ht="15" hidden="false" customHeight="true" outlineLevel="0" collapsed="false">
      <c r="A128" s="11"/>
      <c r="C128" s="19"/>
      <c r="D128" s="19"/>
      <c r="E128" s="19"/>
      <c r="F128" s="19"/>
      <c r="G128" s="19"/>
      <c r="H128" s="19"/>
      <c r="I128" s="19"/>
      <c r="J128" s="19"/>
      <c r="K128" s="19"/>
      <c r="L128" s="19"/>
      <c r="M128" s="19"/>
      <c r="N128" s="19"/>
      <c r="O128" s="19"/>
      <c r="P128" s="19"/>
      <c r="Q128" s="19"/>
      <c r="R128" s="19"/>
      <c r="S128" s="19"/>
      <c r="T128" s="19"/>
      <c r="U128" s="19"/>
      <c r="V128" s="19"/>
      <c r="W128" s="19"/>
      <c r="X128" s="19"/>
      <c r="Y128" s="1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5" min="3" style="1" width="9"/>
  </cols>
  <sheetData>
    <row r="1" customFormat="false" ht="15.75" hidden="false" customHeight="true" outlineLevel="0" collapsed="false">
      <c r="A1" s="7" t="s">
        <v>204</v>
      </c>
      <c r="B1" s="8"/>
      <c r="C1" s="8"/>
      <c r="D1" s="8"/>
      <c r="E1" s="8"/>
      <c r="F1" s="8"/>
      <c r="G1" s="8"/>
      <c r="H1" s="8"/>
      <c r="I1" s="8"/>
      <c r="J1" s="8"/>
      <c r="K1" s="8"/>
      <c r="L1" s="8"/>
      <c r="M1" s="8"/>
      <c r="N1" s="8"/>
      <c r="O1" s="8"/>
      <c r="P1" s="8"/>
      <c r="Q1" s="8"/>
      <c r="R1" s="8"/>
      <c r="S1" s="8"/>
      <c r="T1" s="8"/>
      <c r="U1" s="8"/>
      <c r="V1" s="8"/>
      <c r="W1" s="8"/>
      <c r="X1" s="8"/>
      <c r="Y1" s="8"/>
    </row>
    <row r="2" customFormat="false" ht="15" hidden="false" customHeight="true" outlineLevel="0" collapsed="false">
      <c r="A2" s="87" t="s">
        <v>205</v>
      </c>
      <c r="B2" s="8"/>
      <c r="C2" s="8"/>
      <c r="D2" s="8"/>
      <c r="E2" s="8"/>
      <c r="F2" s="8"/>
      <c r="G2" s="8"/>
      <c r="H2" s="8"/>
      <c r="I2" s="8"/>
      <c r="J2" s="8"/>
      <c r="K2" s="8"/>
      <c r="L2" s="8"/>
      <c r="M2" s="8"/>
      <c r="N2" s="8"/>
      <c r="O2" s="8"/>
      <c r="P2" s="8"/>
      <c r="Q2" s="8"/>
      <c r="R2" s="8"/>
      <c r="S2" s="8"/>
      <c r="T2" s="8"/>
      <c r="U2" s="8"/>
      <c r="V2" s="8"/>
      <c r="W2" s="8"/>
      <c r="X2" s="8"/>
      <c r="Y2" s="8"/>
    </row>
    <row r="3" customFormat="false" ht="15" hidden="false" customHeight="true" outlineLevel="0" collapsed="false">
      <c r="A3" s="51" t="s">
        <v>194</v>
      </c>
      <c r="C3" s="85" t="s">
        <v>206</v>
      </c>
      <c r="D3" s="85" t="s">
        <v>207</v>
      </c>
      <c r="E3" s="85" t="s">
        <v>208</v>
      </c>
      <c r="F3" s="85" t="s">
        <v>209</v>
      </c>
      <c r="G3" s="85" t="s">
        <v>210</v>
      </c>
      <c r="H3" s="85" t="s">
        <v>211</v>
      </c>
      <c r="I3" s="85" t="s">
        <v>212</v>
      </c>
      <c r="J3" s="85" t="s">
        <v>213</v>
      </c>
      <c r="K3" s="85" t="s">
        <v>214</v>
      </c>
      <c r="L3" s="85" t="s">
        <v>215</v>
      </c>
      <c r="M3" s="85" t="s">
        <v>216</v>
      </c>
      <c r="N3" s="85" t="s">
        <v>217</v>
      </c>
      <c r="O3" s="85" t="s">
        <v>218</v>
      </c>
      <c r="P3" s="85" t="s">
        <v>219</v>
      </c>
      <c r="Q3" s="85" t="s">
        <v>220</v>
      </c>
      <c r="R3" s="85" t="s">
        <v>221</v>
      </c>
      <c r="S3" s="85" t="s">
        <v>222</v>
      </c>
      <c r="T3" s="85" t="s">
        <v>223</v>
      </c>
      <c r="U3" s="85" t="s">
        <v>224</v>
      </c>
      <c r="V3" s="85" t="s">
        <v>225</v>
      </c>
      <c r="W3" s="85" t="s">
        <v>226</v>
      </c>
      <c r="X3" s="85" t="s">
        <v>227</v>
      </c>
      <c r="Y3" s="85" t="s">
        <v>228</v>
      </c>
    </row>
    <row r="4" customFormat="false" ht="15" hidden="false" customHeight="true" outlineLevel="0" collapsed="false">
      <c r="A4" s="11" t="s">
        <v>229</v>
      </c>
      <c r="C4" s="86" t="n">
        <f aca="false">'Project Cash Flows'!C7</f>
        <v>22.2806</v>
      </c>
      <c r="D4" s="86" t="n">
        <f aca="false">'Project Cash Flows'!D7</f>
        <v>26.7805</v>
      </c>
      <c r="E4" s="86" t="n">
        <f aca="false">'Project Cash Flows'!E7</f>
        <v>31.9102</v>
      </c>
      <c r="F4" s="86" t="n">
        <f aca="false">'Project Cash Flows'!F7</f>
        <v>37.7584</v>
      </c>
      <c r="G4" s="86" t="n">
        <f aca="false">'Project Cash Flows'!G7</f>
        <v>44.4254</v>
      </c>
      <c r="H4" s="86" t="n">
        <f aca="false">'Project Cash Flows'!H7</f>
        <v>51.1572</v>
      </c>
      <c r="I4" s="86" t="n">
        <f aca="false">'Project Cash Flows'!I7</f>
        <v>37.3609</v>
      </c>
      <c r="J4" s="86" t="n">
        <f aca="false">'Project Cash Flows'!J7</f>
        <v>38.3157</v>
      </c>
      <c r="K4" s="86" t="n">
        <f aca="false">'Project Cash Flows'!K7</f>
        <v>35.6495</v>
      </c>
      <c r="L4" s="86" t="n">
        <f aca="false">'Project Cash Flows'!L7</f>
        <v>30.9297</v>
      </c>
      <c r="M4" s="86" t="n">
        <f aca="false">'Project Cash Flows'!M7</f>
        <v>25.5491</v>
      </c>
      <c r="N4" s="86" t="n">
        <f aca="false">'Project Cash Flows'!N7</f>
        <v>21.3209</v>
      </c>
      <c r="O4" s="86" t="n">
        <f aca="false">'Project Cash Flows'!O7</f>
        <v>15.3633</v>
      </c>
      <c r="P4" s="86" t="n">
        <f aca="false">'Project Cash Flows'!P7</f>
        <v>11.6542</v>
      </c>
      <c r="Q4" s="86" t="n">
        <f aca="false">'Project Cash Flows'!Q7</f>
        <v>7.4256</v>
      </c>
      <c r="R4" s="86" t="n">
        <f aca="false">'Project Cash Flows'!R7</f>
        <v>5.8431</v>
      </c>
      <c r="S4" s="86" t="n">
        <f aca="false">'Project Cash Flows'!S7</f>
        <v>4.0392</v>
      </c>
      <c r="T4" s="86" t="n">
        <f aca="false">'Project Cash Flows'!T7</f>
        <v>3.6627</v>
      </c>
      <c r="U4" s="86" t="n">
        <f aca="false">'Project Cash Flows'!U7</f>
        <v>3.2336</v>
      </c>
      <c r="V4" s="86" t="n">
        <f aca="false">'Project Cash Flows'!V7</f>
        <v>2.7444</v>
      </c>
      <c r="W4" s="86" t="n">
        <f aca="false">'Project Cash Flows'!W7</f>
        <v>2.1867</v>
      </c>
      <c r="X4" s="86" t="n">
        <f aca="false">'Project Cash Flows'!X7</f>
        <v>1.551</v>
      </c>
      <c r="Y4" s="86" t="n">
        <f aca="false">'Project Cash Flows'!Y7</f>
        <v>0.8262</v>
      </c>
    </row>
    <row r="5" customFormat="false" ht="15" hidden="false" customHeight="true" outlineLevel="0" collapsed="false">
      <c r="A5" s="11" t="s">
        <v>198</v>
      </c>
      <c r="C5" s="86" t="n">
        <f aca="false">-'Project Cash Flows'!C8</f>
        <v>-13.7024</v>
      </c>
      <c r="D5" s="86" t="n">
        <f aca="false">-'Project Cash Flows'!D8</f>
        <v>-16.783</v>
      </c>
      <c r="E5" s="86" t="n">
        <f aca="false">-'Project Cash Flows'!E8</f>
        <v>-20.2952</v>
      </c>
      <c r="F5" s="86" t="n">
        <f aca="false">-'Project Cash Flows'!F8</f>
        <v>-24.2988</v>
      </c>
      <c r="G5" s="86" t="n">
        <f aca="false">-'Project Cash Flows'!G8</f>
        <v>-28.8632</v>
      </c>
      <c r="H5" s="86" t="n">
        <f aca="false">-'Project Cash Flows'!H8</f>
        <v>-33.5065</v>
      </c>
      <c r="I5" s="86" t="n">
        <f aca="false">-'Project Cash Flows'!I8</f>
        <v>-25.7437</v>
      </c>
      <c r="J5" s="86" t="n">
        <f aca="false">-'Project Cash Flows'!J8</f>
        <v>-26.5834</v>
      </c>
      <c r="K5" s="86" t="n">
        <f aca="false">-'Project Cash Flows'!K8</f>
        <v>-24.9343</v>
      </c>
      <c r="L5" s="86" t="n">
        <f aca="false">-'Project Cash Flows'!L8</f>
        <v>-21.8415</v>
      </c>
      <c r="M5" s="86" t="n">
        <f aca="false">-'Project Cash Flows'!M8</f>
        <v>-18.3154</v>
      </c>
      <c r="N5" s="86" t="n">
        <f aca="false">-'Project Cash Flows'!N8</f>
        <v>-15.5254</v>
      </c>
      <c r="O5" s="86" t="n">
        <f aca="false">-'Project Cash Flows'!O8</f>
        <v>-11.4138</v>
      </c>
      <c r="P5" s="86" t="n">
        <f aca="false">-'Project Cash Flows'!P8</f>
        <v>-8.795</v>
      </c>
      <c r="Q5" s="86" t="n">
        <f aca="false">-'Project Cash Flows'!Q8</f>
        <v>-5.8095</v>
      </c>
      <c r="R5" s="86" t="n">
        <f aca="false">-'Project Cash Flows'!R8</f>
        <v>-4.6392</v>
      </c>
      <c r="S5" s="86" t="n">
        <f aca="false">-'Project Cash Flows'!S8</f>
        <v>-3.3049</v>
      </c>
      <c r="T5" s="86" t="n">
        <f aca="false">-'Project Cash Flows'!T8</f>
        <v>-2.9969</v>
      </c>
      <c r="U5" s="86" t="n">
        <f aca="false">-'Project Cash Flows'!U8</f>
        <v>-2.6458</v>
      </c>
      <c r="V5" s="86" t="n">
        <f aca="false">-'Project Cash Flows'!V8</f>
        <v>-2.2455</v>
      </c>
      <c r="W5" s="86" t="n">
        <f aca="false">-'Project Cash Flows'!W8</f>
        <v>-1.7892</v>
      </c>
      <c r="X5" s="86" t="n">
        <f aca="false">-'Project Cash Flows'!X8</f>
        <v>-1.269</v>
      </c>
      <c r="Y5" s="86" t="n">
        <f aca="false">-'Project Cash Flows'!Y8</f>
        <v>-0.676</v>
      </c>
    </row>
    <row r="6" customFormat="false" ht="15" hidden="false" customHeight="true" outlineLevel="0" collapsed="false">
      <c r="A6" s="77" t="s">
        <v>230</v>
      </c>
      <c r="C6" s="79" t="n">
        <f aca="false">C4+C5</f>
        <v>8.5782</v>
      </c>
      <c r="D6" s="79" t="n">
        <f aca="false">D4+D5</f>
        <v>9.9975</v>
      </c>
      <c r="E6" s="79" t="n">
        <f aca="false">E4+E5</f>
        <v>11.615</v>
      </c>
      <c r="F6" s="79" t="n">
        <f aca="false">F4+F5</f>
        <v>13.4596</v>
      </c>
      <c r="G6" s="79" t="n">
        <f aca="false">G4+G5</f>
        <v>15.5622</v>
      </c>
      <c r="H6" s="79" t="n">
        <f aca="false">H4+H5</f>
        <v>17.6507</v>
      </c>
      <c r="I6" s="79" t="n">
        <f aca="false">I4+I5</f>
        <v>11.6172</v>
      </c>
      <c r="J6" s="79" t="n">
        <f aca="false">J4+J5</f>
        <v>11.7323</v>
      </c>
      <c r="K6" s="79" t="n">
        <f aca="false">K4+K5</f>
        <v>10.7152</v>
      </c>
      <c r="L6" s="79" t="n">
        <f aca="false">L4+L5</f>
        <v>9.0882</v>
      </c>
      <c r="M6" s="79" t="n">
        <f aca="false">M4+M5</f>
        <v>7.23370000000001</v>
      </c>
      <c r="N6" s="79" t="n">
        <f aca="false">N4+N5</f>
        <v>5.7955</v>
      </c>
      <c r="O6" s="79" t="n">
        <f aca="false">O4+O5</f>
        <v>3.9495</v>
      </c>
      <c r="P6" s="79" t="n">
        <f aca="false">P4+P5</f>
        <v>2.8592</v>
      </c>
      <c r="Q6" s="79" t="n">
        <f aca="false">Q4+Q5</f>
        <v>1.6161</v>
      </c>
      <c r="R6" s="79" t="n">
        <f aca="false">R4+R5</f>
        <v>1.2039</v>
      </c>
      <c r="S6" s="79" t="n">
        <f aca="false">S4+S5</f>
        <v>0.7343</v>
      </c>
      <c r="T6" s="79" t="n">
        <f aca="false">T4+T5</f>
        <v>0.6658</v>
      </c>
      <c r="U6" s="79" t="n">
        <f aca="false">U4+U5</f>
        <v>0.5878</v>
      </c>
      <c r="V6" s="79" t="n">
        <f aca="false">V4+V5</f>
        <v>0.4989</v>
      </c>
      <c r="W6" s="79" t="n">
        <f aca="false">W4+W5</f>
        <v>0.3975</v>
      </c>
      <c r="X6" s="79" t="n">
        <f aca="false">X4+X5</f>
        <v>0.282</v>
      </c>
      <c r="Y6" s="79" t="n">
        <f aca="false">Y4+Y5</f>
        <v>0.1502</v>
      </c>
    </row>
    <row r="7" customFormat="false" ht="15" hidden="false" customHeight="true" outlineLevel="0" collapsed="false">
      <c r="A7" s="11" t="s">
        <v>231</v>
      </c>
      <c r="C7" s="15" t="n">
        <f aca="false">IF(C4=0,0,C6/C4)</f>
        <v>0.385007585074011</v>
      </c>
      <c r="D7" s="15" t="n">
        <f aca="false">IF(D4=0,0,D6/D4)</f>
        <v>0.373312671533392</v>
      </c>
      <c r="E7" s="15" t="n">
        <f aca="false">IF(E4=0,0,E6/E4)</f>
        <v>0.363990197491711</v>
      </c>
      <c r="F7" s="15" t="n">
        <f aca="false">IF(F4=0,0,F6/F4)</f>
        <v>0.356466375693885</v>
      </c>
      <c r="G7" s="15" t="n">
        <f aca="false">IF(G4=0,0,G6/G4)</f>
        <v>0.350299603380048</v>
      </c>
      <c r="H7" s="15" t="n">
        <f aca="false">IF(H4=0,0,H6/H4)</f>
        <v>0.345028656767767</v>
      </c>
      <c r="I7" s="15" t="n">
        <f aca="false">IF(I4=0,0,I6/I4)</f>
        <v>0.310945400137577</v>
      </c>
      <c r="J7" s="15" t="n">
        <f aca="false">IF(J4=0,0,J6/J4)</f>
        <v>0.3062008523921</v>
      </c>
      <c r="K7" s="15" t="n">
        <f aca="false">IF(K4=0,0,K6/K4)</f>
        <v>0.300570835495589</v>
      </c>
      <c r="L7" s="15" t="n">
        <f aca="false">IF(L4=0,0,L6/L4)</f>
        <v>0.293834081804867</v>
      </c>
      <c r="M7" s="15" t="n">
        <f aca="false">IF(M4=0,0,M6/M4)</f>
        <v>0.283129347022009</v>
      </c>
      <c r="N7" s="15" t="n">
        <f aca="false">IF(N4=0,0,N6/N4)</f>
        <v>0.271822484041481</v>
      </c>
      <c r="O7" s="15" t="n">
        <f aca="false">IF(O4=0,0,O6/O4)</f>
        <v>0.257073675577513</v>
      </c>
      <c r="P7" s="15" t="n">
        <f aca="false">IF(P4=0,0,P6/P4)</f>
        <v>0.245336445230046</v>
      </c>
      <c r="Q7" s="15" t="n">
        <f aca="false">IF(Q4=0,0,Q6/Q4)</f>
        <v>0.21763897866839</v>
      </c>
      <c r="R7" s="15" t="n">
        <f aca="false">IF(R4=0,0,R6/R4)</f>
        <v>0.206037890845613</v>
      </c>
      <c r="S7" s="15" t="n">
        <f aca="false">IF(S4=0,0,S6/S4)</f>
        <v>0.181793424440483</v>
      </c>
      <c r="T7" s="15" t="n">
        <f aca="false">IF(T4=0,0,T6/T4)</f>
        <v>0.181778469435116</v>
      </c>
      <c r="U7" s="15" t="n">
        <f aca="false">IF(U4=0,0,U6/U4)</f>
        <v>0.181778822365166</v>
      </c>
      <c r="V7" s="15" t="n">
        <f aca="false">IF(V4=0,0,V6/V4)</f>
        <v>0.181788369042414</v>
      </c>
      <c r="W7" s="15" t="n">
        <f aca="false">IF(W4=0,0,W6/W4)</f>
        <v>0.181780765537111</v>
      </c>
      <c r="X7" s="15" t="n">
        <f aca="false">IF(X4=0,0,X6/X4)</f>
        <v>0.181818181818182</v>
      </c>
      <c r="Y7" s="15" t="n">
        <f aca="false">IF(Y4=0,0,Y6/Y4)</f>
        <v>0.181796175260228</v>
      </c>
    </row>
    <row r="8" customFormat="false" ht="15" hidden="false" customHeight="true" outlineLevel="0" collapsed="false">
      <c r="A8" s="11" t="s">
        <v>201</v>
      </c>
      <c r="C8" s="86" t="n">
        <f aca="false">-'Project Cash Flows'!C11</f>
        <v>-1.7718</v>
      </c>
      <c r="D8" s="86" t="n">
        <f aca="false">-'Project Cash Flows'!D11</f>
        <v>-2.0199</v>
      </c>
      <c r="E8" s="86" t="n">
        <f aca="false">-'Project Cash Flows'!E11</f>
        <v>-2.3025</v>
      </c>
      <c r="F8" s="86" t="n">
        <f aca="false">-'Project Cash Flows'!F11</f>
        <v>-2.6249</v>
      </c>
      <c r="G8" s="86" t="n">
        <f aca="false">-'Project Cash Flows'!G11</f>
        <v>-2.9923</v>
      </c>
      <c r="H8" s="86" t="n">
        <f aca="false">-'Project Cash Flows'!H11</f>
        <v>-3.4113</v>
      </c>
      <c r="I8" s="86" t="n">
        <f aca="false">-'Project Cash Flows'!I11</f>
        <v>-3.3668</v>
      </c>
      <c r="J8" s="86" t="n">
        <f aca="false">-'Project Cash Flows'!J11</f>
        <v>-2.4819</v>
      </c>
      <c r="K8" s="86" t="n">
        <f aca="false">-'Project Cash Flows'!K11</f>
        <v>-1.2428</v>
      </c>
      <c r="L8" s="86" t="n">
        <f aca="false">-'Project Cash Flows'!L11</f>
        <v>-0.6103</v>
      </c>
      <c r="M8" s="86" t="n">
        <f aca="false">-'Project Cash Flows'!M11</f>
        <v>-0.6958</v>
      </c>
      <c r="N8" s="86" t="n">
        <f aca="false">-'Project Cash Flows'!N11</f>
        <v>-0.7932</v>
      </c>
      <c r="O8" s="86" t="n">
        <f aca="false">-'Project Cash Flows'!O11</f>
        <v>-0</v>
      </c>
      <c r="P8" s="86" t="n">
        <f aca="false">-'Project Cash Flows'!P11</f>
        <v>-0</v>
      </c>
      <c r="Q8" s="86" t="n">
        <f aca="false">-'Project Cash Flows'!Q11</f>
        <v>-0</v>
      </c>
      <c r="R8" s="86" t="n">
        <f aca="false">-'Project Cash Flows'!R11</f>
        <v>-0</v>
      </c>
      <c r="S8" s="86" t="n">
        <f aca="false">-'Project Cash Flows'!S11</f>
        <v>-0</v>
      </c>
      <c r="T8" s="86" t="n">
        <f aca="false">-'Project Cash Flows'!T11</f>
        <v>-0</v>
      </c>
      <c r="U8" s="86" t="n">
        <f aca="false">-'Project Cash Flows'!U11</f>
        <v>-0</v>
      </c>
      <c r="V8" s="86" t="n">
        <f aca="false">-'Project Cash Flows'!V11</f>
        <v>-0</v>
      </c>
      <c r="W8" s="86" t="n">
        <f aca="false">-'Project Cash Flows'!W11</f>
        <v>-0</v>
      </c>
      <c r="X8" s="86" t="n">
        <f aca="false">-'Project Cash Flows'!X11</f>
        <v>-0</v>
      </c>
      <c r="Y8" s="86" t="n">
        <f aca="false">-'Project Cash Flows'!Y11</f>
        <v>-0</v>
      </c>
    </row>
    <row r="9" customFormat="false" ht="15" hidden="false" customHeight="true" outlineLevel="0" collapsed="false">
      <c r="A9" s="11" t="s">
        <v>232</v>
      </c>
      <c r="C9" s="19" t="n">
        <f aca="false">-C4*Assumptions!$B$18</f>
        <v>-1.11403</v>
      </c>
      <c r="D9" s="19" t="n">
        <f aca="false">-D4*Assumptions!$B$18</f>
        <v>-1.339025</v>
      </c>
      <c r="E9" s="19" t="n">
        <f aca="false">-E4*Assumptions!$B$18</f>
        <v>-1.59551</v>
      </c>
      <c r="F9" s="19" t="n">
        <f aca="false">-F4*Assumptions!$B$18</f>
        <v>-1.88792</v>
      </c>
      <c r="G9" s="19" t="n">
        <f aca="false">-G4*Assumptions!$B$18</f>
        <v>-2.22127</v>
      </c>
      <c r="H9" s="19" t="n">
        <f aca="false">-H4*Assumptions!$B$18</f>
        <v>-2.55786</v>
      </c>
      <c r="I9" s="19" t="n">
        <f aca="false">-I4*Assumptions!$B$18</f>
        <v>-1.868045</v>
      </c>
      <c r="J9" s="19" t="n">
        <f aca="false">-J4*Assumptions!$B$18</f>
        <v>-1.915785</v>
      </c>
      <c r="K9" s="19" t="n">
        <f aca="false">-K4*Assumptions!$B$18</f>
        <v>-1.782475</v>
      </c>
      <c r="L9" s="19" t="n">
        <f aca="false">-L4*Assumptions!$B$18</f>
        <v>-1.546485</v>
      </c>
      <c r="M9" s="19" t="n">
        <f aca="false">-M4*Assumptions!$B$18</f>
        <v>-1.277455</v>
      </c>
      <c r="N9" s="19" t="n">
        <f aca="false">-N4*Assumptions!$B$18</f>
        <v>-1.066045</v>
      </c>
      <c r="O9" s="19" t="n">
        <f aca="false">-O4*Assumptions!$B$18</f>
        <v>-0.768165</v>
      </c>
      <c r="P9" s="19" t="n">
        <f aca="false">-P4*Assumptions!$B$18</f>
        <v>-0.58271</v>
      </c>
      <c r="Q9" s="19" t="n">
        <f aca="false">-Q4*Assumptions!$B$18</f>
        <v>-0.37128</v>
      </c>
      <c r="R9" s="19" t="n">
        <f aca="false">-R4*Assumptions!$B$18</f>
        <v>-0.292155</v>
      </c>
      <c r="S9" s="19" t="n">
        <f aca="false">-S4*Assumptions!$B$18</f>
        <v>-0.20196</v>
      </c>
      <c r="T9" s="19" t="n">
        <f aca="false">-T4*Assumptions!$B$18</f>
        <v>-0.183135</v>
      </c>
      <c r="U9" s="19" t="n">
        <f aca="false">-U4*Assumptions!$B$18</f>
        <v>-0.16168</v>
      </c>
      <c r="V9" s="19" t="n">
        <f aca="false">-V4*Assumptions!$B$18</f>
        <v>-0.13722</v>
      </c>
      <c r="W9" s="19" t="n">
        <f aca="false">-W4*Assumptions!$B$18</f>
        <v>-0.109335</v>
      </c>
      <c r="X9" s="19" t="n">
        <f aca="false">-X4*Assumptions!$B$18</f>
        <v>-0.07755</v>
      </c>
      <c r="Y9" s="19" t="n">
        <f aca="false">-Y4*Assumptions!$B$18</f>
        <v>-0.04131</v>
      </c>
    </row>
    <row r="10" customFormat="false" ht="15" hidden="false" customHeight="true" outlineLevel="0" collapsed="false">
      <c r="A10" s="77" t="s">
        <v>233</v>
      </c>
      <c r="C10" s="79" t="n">
        <f aca="false">C6+C8+C9</f>
        <v>5.69237</v>
      </c>
      <c r="D10" s="79" t="n">
        <f aca="false">D6+D8+D9</f>
        <v>6.638575</v>
      </c>
      <c r="E10" s="79" t="n">
        <f aca="false">E6+E8+E9</f>
        <v>7.71699</v>
      </c>
      <c r="F10" s="79" t="n">
        <f aca="false">F6+F8+F9</f>
        <v>8.94678</v>
      </c>
      <c r="G10" s="79" t="n">
        <f aca="false">G6+G8+G9</f>
        <v>10.34863</v>
      </c>
      <c r="H10" s="79" t="n">
        <f aca="false">H6+H8+H9</f>
        <v>11.68154</v>
      </c>
      <c r="I10" s="79" t="n">
        <f aca="false">I6+I8+I9</f>
        <v>6.382355</v>
      </c>
      <c r="J10" s="79" t="n">
        <f aca="false">J6+J8+J9</f>
        <v>7.334615</v>
      </c>
      <c r="K10" s="79" t="n">
        <f aca="false">K6+K8+K9</f>
        <v>7.689925</v>
      </c>
      <c r="L10" s="79" t="n">
        <f aca="false">L6+L8+L9</f>
        <v>6.931415</v>
      </c>
      <c r="M10" s="79" t="n">
        <f aca="false">M6+M8+M9</f>
        <v>5.26044500000001</v>
      </c>
      <c r="N10" s="79" t="n">
        <f aca="false">N6+N8+N9</f>
        <v>3.936255</v>
      </c>
      <c r="O10" s="79" t="n">
        <f aca="false">O6+O8+O9</f>
        <v>3.181335</v>
      </c>
      <c r="P10" s="79" t="n">
        <f aca="false">P6+P8+P9</f>
        <v>2.27649</v>
      </c>
      <c r="Q10" s="79" t="n">
        <f aca="false">Q6+Q8+Q9</f>
        <v>1.24482</v>
      </c>
      <c r="R10" s="79" t="n">
        <f aca="false">R6+R8+R9</f>
        <v>0.911745</v>
      </c>
      <c r="S10" s="79" t="n">
        <f aca="false">S6+S8+S9</f>
        <v>0.53234</v>
      </c>
      <c r="T10" s="79" t="n">
        <f aca="false">T6+T8+T9</f>
        <v>0.482665</v>
      </c>
      <c r="U10" s="79" t="n">
        <f aca="false">U6+U8+U9</f>
        <v>0.42612</v>
      </c>
      <c r="V10" s="79" t="n">
        <f aca="false">V6+V8+V9</f>
        <v>0.36168</v>
      </c>
      <c r="W10" s="79" t="n">
        <f aca="false">W6+W8+W9</f>
        <v>0.288165</v>
      </c>
      <c r="X10" s="79" t="n">
        <f aca="false">X6+X8+X9</f>
        <v>0.20445</v>
      </c>
      <c r="Y10" s="79" t="n">
        <f aca="false">Y6+Y8+Y9</f>
        <v>0.10889</v>
      </c>
    </row>
    <row r="11" customFormat="false" ht="15" hidden="false" customHeight="true" outlineLevel="0" collapsed="false">
      <c r="A11" s="11" t="s">
        <v>234</v>
      </c>
      <c r="C11" s="15" t="n">
        <f aca="false">IF(C4=0,0,C10/C4)</f>
        <v>0.255485489618771</v>
      </c>
      <c r="D11" s="15" t="n">
        <f aca="false">IF(D4=0,0,D10/D4)</f>
        <v>0.247888388939714</v>
      </c>
      <c r="E11" s="15" t="n">
        <f aca="false">IF(E4=0,0,E10/E4)</f>
        <v>0.241834585806419</v>
      </c>
      <c r="F11" s="15" t="n">
        <f aca="false">IF(F4=0,0,F10/F4)</f>
        <v>0.236948069833468</v>
      </c>
      <c r="G11" s="15" t="n">
        <f aca="false">IF(G4=0,0,G10/G4)</f>
        <v>0.232943991500358</v>
      </c>
      <c r="H11" s="15" t="n">
        <f aca="false">IF(H4=0,0,H10/H4)</f>
        <v>0.228345961076838</v>
      </c>
      <c r="I11" s="15" t="n">
        <f aca="false">IF(I4=0,0,I10/I4)</f>
        <v>0.170829797997372</v>
      </c>
      <c r="J11" s="15" t="n">
        <f aca="false">IF(J4=0,0,J10/J4)</f>
        <v>0.191425838494403</v>
      </c>
      <c r="K11" s="15" t="n">
        <f aca="false">IF(K4=0,0,K10/K4)</f>
        <v>0.215709196482419</v>
      </c>
      <c r="L11" s="15" t="n">
        <f aca="false">IF(L4=0,0,L10/L4)</f>
        <v>0.224102238301697</v>
      </c>
      <c r="M11" s="15" t="n">
        <f aca="false">IF(M4=0,0,M10/M4)</f>
        <v>0.205895510996474</v>
      </c>
      <c r="N11" s="15" t="n">
        <f aca="false">IF(N4=0,0,N10/N4)</f>
        <v>0.18461955170748</v>
      </c>
      <c r="O11" s="15" t="n">
        <f aca="false">IF(O4=0,0,O10/O4)</f>
        <v>0.207073675577513</v>
      </c>
      <c r="P11" s="15" t="n">
        <f aca="false">IF(P4=0,0,P10/P4)</f>
        <v>0.195336445230046</v>
      </c>
      <c r="Q11" s="15" t="n">
        <f aca="false">IF(Q4=0,0,Q10/Q4)</f>
        <v>0.16763897866839</v>
      </c>
      <c r="R11" s="15" t="n">
        <f aca="false">IF(R4=0,0,R10/R4)</f>
        <v>0.156037890845613</v>
      </c>
      <c r="S11" s="15" t="n">
        <f aca="false">IF(S4=0,0,S10/S4)</f>
        <v>0.131793424440483</v>
      </c>
      <c r="T11" s="15" t="n">
        <f aca="false">IF(T4=0,0,T10/T4)</f>
        <v>0.131778469435116</v>
      </c>
      <c r="U11" s="15" t="n">
        <f aca="false">IF(U4=0,0,U10/U4)</f>
        <v>0.131778822365166</v>
      </c>
      <c r="V11" s="15" t="n">
        <f aca="false">IF(V4=0,0,V10/V4)</f>
        <v>0.131788369042414</v>
      </c>
      <c r="W11" s="15" t="n">
        <f aca="false">IF(W4=0,0,W10/W4)</f>
        <v>0.131780765537111</v>
      </c>
      <c r="X11" s="15" t="n">
        <f aca="false">IF(X4=0,0,X10/X4)</f>
        <v>0.131818181818182</v>
      </c>
      <c r="Y11" s="15" t="n">
        <f aca="false">IF(Y4=0,0,Y10/Y4)</f>
        <v>0.131796175260228</v>
      </c>
    </row>
    <row r="12" customFormat="false" ht="15" hidden="false" customHeight="true" outlineLevel="0" collapsed="false">
      <c r="A12" s="11" t="s">
        <v>235</v>
      </c>
      <c r="C12" s="19" t="n">
        <f aca="false">-C4*Assumptions!$B$19</f>
        <v>-0.111403</v>
      </c>
      <c r="D12" s="19" t="n">
        <f aca="false">-D4*Assumptions!$B$19</f>
        <v>-0.1339025</v>
      </c>
      <c r="E12" s="19" t="n">
        <f aca="false">-E4*Assumptions!$B$19</f>
        <v>-0.159551</v>
      </c>
      <c r="F12" s="19" t="n">
        <f aca="false">-F4*Assumptions!$B$19</f>
        <v>-0.188792</v>
      </c>
      <c r="G12" s="19" t="n">
        <f aca="false">-G4*Assumptions!$B$19</f>
        <v>-0.222127</v>
      </c>
      <c r="H12" s="19" t="n">
        <f aca="false">-H4*Assumptions!$B$19</f>
        <v>-0.255786</v>
      </c>
      <c r="I12" s="19" t="n">
        <f aca="false">-I4*Assumptions!$B$19</f>
        <v>-0.1868045</v>
      </c>
      <c r="J12" s="19" t="n">
        <f aca="false">-J4*Assumptions!$B$19</f>
        <v>-0.1915785</v>
      </c>
      <c r="K12" s="19" t="n">
        <f aca="false">-K4*Assumptions!$B$19</f>
        <v>-0.1782475</v>
      </c>
      <c r="L12" s="19" t="n">
        <f aca="false">-L4*Assumptions!$B$19</f>
        <v>-0.1546485</v>
      </c>
      <c r="M12" s="19" t="n">
        <f aca="false">-M4*Assumptions!$B$19</f>
        <v>-0.1277455</v>
      </c>
      <c r="N12" s="19" t="n">
        <f aca="false">-N4*Assumptions!$B$19</f>
        <v>-0.1066045</v>
      </c>
      <c r="O12" s="19" t="n">
        <f aca="false">-O4*Assumptions!$B$19</f>
        <v>-0.0768165</v>
      </c>
      <c r="P12" s="19" t="n">
        <f aca="false">-P4*Assumptions!$B$19</f>
        <v>-0.058271</v>
      </c>
      <c r="Q12" s="19" t="n">
        <f aca="false">-Q4*Assumptions!$B$19</f>
        <v>-0.037128</v>
      </c>
      <c r="R12" s="19" t="n">
        <f aca="false">-R4*Assumptions!$B$19</f>
        <v>-0.0292155</v>
      </c>
      <c r="S12" s="19" t="n">
        <f aca="false">-S4*Assumptions!$B$19</f>
        <v>-0.020196</v>
      </c>
      <c r="T12" s="19" t="n">
        <f aca="false">-T4*Assumptions!$B$19</f>
        <v>-0.0183135</v>
      </c>
      <c r="U12" s="19" t="n">
        <f aca="false">-U4*Assumptions!$B$19</f>
        <v>-0.016168</v>
      </c>
      <c r="V12" s="19" t="n">
        <f aca="false">-V4*Assumptions!$B$19</f>
        <v>-0.013722</v>
      </c>
      <c r="W12" s="19" t="n">
        <f aca="false">-W4*Assumptions!$B$19</f>
        <v>-0.0109335</v>
      </c>
      <c r="X12" s="19" t="n">
        <f aca="false">-X4*Assumptions!$B$19</f>
        <v>-0.007755</v>
      </c>
      <c r="Y12" s="19" t="n">
        <f aca="false">-Y4*Assumptions!$B$19</f>
        <v>-0.004131</v>
      </c>
    </row>
    <row r="13" customFormat="false" ht="15" hidden="false" customHeight="true" outlineLevel="0" collapsed="false">
      <c r="A13" s="77" t="s">
        <v>236</v>
      </c>
      <c r="C13" s="79" t="n">
        <f aca="false">C10+C12</f>
        <v>5.580967</v>
      </c>
      <c r="D13" s="79" t="n">
        <f aca="false">D10+D12</f>
        <v>6.5046725</v>
      </c>
      <c r="E13" s="79" t="n">
        <f aca="false">E10+E12</f>
        <v>7.557439</v>
      </c>
      <c r="F13" s="79" t="n">
        <f aca="false">F10+F12</f>
        <v>8.757988</v>
      </c>
      <c r="G13" s="79" t="n">
        <f aca="false">G10+G12</f>
        <v>10.126503</v>
      </c>
      <c r="H13" s="79" t="n">
        <f aca="false">H10+H12</f>
        <v>11.425754</v>
      </c>
      <c r="I13" s="79" t="n">
        <f aca="false">I10+I12</f>
        <v>6.1955505</v>
      </c>
      <c r="J13" s="79" t="n">
        <f aca="false">J10+J12</f>
        <v>7.1430365</v>
      </c>
      <c r="K13" s="79" t="n">
        <f aca="false">K10+K12</f>
        <v>7.5116775</v>
      </c>
      <c r="L13" s="79" t="n">
        <f aca="false">L10+L12</f>
        <v>6.7767665</v>
      </c>
      <c r="M13" s="79" t="n">
        <f aca="false">M10+M12</f>
        <v>5.13269950000001</v>
      </c>
      <c r="N13" s="79" t="n">
        <f aca="false">N10+N12</f>
        <v>3.8296505</v>
      </c>
      <c r="O13" s="79" t="n">
        <f aca="false">O10+O12</f>
        <v>3.1045185</v>
      </c>
      <c r="P13" s="79" t="n">
        <f aca="false">P10+P12</f>
        <v>2.218219</v>
      </c>
      <c r="Q13" s="79" t="n">
        <f aca="false">Q10+Q12</f>
        <v>1.207692</v>
      </c>
      <c r="R13" s="79" t="n">
        <f aca="false">R10+R12</f>
        <v>0.8825295</v>
      </c>
      <c r="S13" s="79" t="n">
        <f aca="false">S10+S12</f>
        <v>0.512144</v>
      </c>
      <c r="T13" s="79" t="n">
        <f aca="false">T10+T12</f>
        <v>0.4643515</v>
      </c>
      <c r="U13" s="79" t="n">
        <f aca="false">U10+U12</f>
        <v>0.409952</v>
      </c>
      <c r="V13" s="79" t="n">
        <f aca="false">V10+V12</f>
        <v>0.347958</v>
      </c>
      <c r="W13" s="79" t="n">
        <f aca="false">W10+W12</f>
        <v>0.2772315</v>
      </c>
      <c r="X13" s="79" t="n">
        <f aca="false">X10+X12</f>
        <v>0.196695</v>
      </c>
      <c r="Y13" s="79" t="n">
        <f aca="false">Y10+Y12</f>
        <v>0.104759</v>
      </c>
    </row>
    <row r="14" customFormat="false" ht="15" hidden="false" customHeight="true" outlineLevel="0" collapsed="false">
      <c r="A14" s="11" t="s">
        <v>237</v>
      </c>
      <c r="C14" s="15" t="n">
        <f aca="false">IF(C4=0,0,C13/C4)</f>
        <v>0.250485489618771</v>
      </c>
      <c r="D14" s="15" t="n">
        <f aca="false">IF(D4=0,0,D13/D4)</f>
        <v>0.242888388939714</v>
      </c>
      <c r="E14" s="15" t="n">
        <f aca="false">IF(E4=0,0,E13/E4)</f>
        <v>0.236834585806419</v>
      </c>
      <c r="F14" s="15" t="n">
        <f aca="false">IF(F4=0,0,F13/F4)</f>
        <v>0.231948069833468</v>
      </c>
      <c r="G14" s="15" t="n">
        <f aca="false">IF(G4=0,0,G13/G4)</f>
        <v>0.227943991500358</v>
      </c>
      <c r="H14" s="15" t="n">
        <f aca="false">IF(H4=0,0,H13/H4)</f>
        <v>0.223345961076838</v>
      </c>
      <c r="I14" s="15" t="n">
        <f aca="false">IF(I4=0,0,I13/I4)</f>
        <v>0.165829797997372</v>
      </c>
      <c r="J14" s="15" t="n">
        <f aca="false">IF(J4=0,0,J13/J4)</f>
        <v>0.186425838494403</v>
      </c>
      <c r="K14" s="15" t="n">
        <f aca="false">IF(K4=0,0,K13/K4)</f>
        <v>0.210709196482419</v>
      </c>
      <c r="L14" s="15" t="n">
        <f aca="false">IF(L4=0,0,L13/L4)</f>
        <v>0.219102238301697</v>
      </c>
      <c r="M14" s="15" t="n">
        <f aca="false">IF(M4=0,0,M13/M4)</f>
        <v>0.200895510996474</v>
      </c>
      <c r="N14" s="15" t="n">
        <f aca="false">IF(N4=0,0,N13/N4)</f>
        <v>0.17961955170748</v>
      </c>
      <c r="O14" s="15" t="n">
        <f aca="false">IF(O4=0,0,O13/O4)</f>
        <v>0.202073675577513</v>
      </c>
      <c r="P14" s="15" t="n">
        <f aca="false">IF(P4=0,0,P13/P4)</f>
        <v>0.190336445230046</v>
      </c>
      <c r="Q14" s="15" t="n">
        <f aca="false">IF(Q4=0,0,Q13/Q4)</f>
        <v>0.16263897866839</v>
      </c>
      <c r="R14" s="15" t="n">
        <f aca="false">IF(R4=0,0,R13/R4)</f>
        <v>0.151037890845613</v>
      </c>
      <c r="S14" s="15" t="n">
        <f aca="false">IF(S4=0,0,S13/S4)</f>
        <v>0.126793424440483</v>
      </c>
      <c r="T14" s="15" t="n">
        <f aca="false">IF(T4=0,0,T13/T4)</f>
        <v>0.126778469435116</v>
      </c>
      <c r="U14" s="15" t="n">
        <f aca="false">IF(U4=0,0,U13/U4)</f>
        <v>0.126778822365166</v>
      </c>
      <c r="V14" s="15" t="n">
        <f aca="false">IF(V4=0,0,V13/V4)</f>
        <v>0.126788369042414</v>
      </c>
      <c r="W14" s="15" t="n">
        <f aca="false">IF(W4=0,0,W13/W4)</f>
        <v>0.126780765537111</v>
      </c>
      <c r="X14" s="15" t="n">
        <f aca="false">IF(X4=0,0,X13/X4)</f>
        <v>0.126818181818182</v>
      </c>
      <c r="Y14" s="15" t="n">
        <f aca="false">IF(Y4=0,0,Y13/Y4)</f>
        <v>0.126796175260228</v>
      </c>
    </row>
    <row r="15" customFormat="false" ht="15" hidden="false" customHeight="true" outlineLevel="0" collapsed="false">
      <c r="A15" s="11" t="s">
        <v>238</v>
      </c>
      <c r="C15" s="86" t="n">
        <f aca="false">-'Debt Schedule'!C5</f>
        <v>-1.404</v>
      </c>
      <c r="D15" s="86" t="n">
        <f aca="false">-'Debt Schedule'!D5</f>
        <v>-0</v>
      </c>
      <c r="E15" s="86" t="n">
        <f aca="false">-'Debt Schedule'!E5</f>
        <v>-0</v>
      </c>
      <c r="F15" s="86" t="n">
        <f aca="false">-'Debt Schedule'!F5</f>
        <v>-0</v>
      </c>
      <c r="G15" s="86" t="n">
        <f aca="false">-'Debt Schedule'!G5</f>
        <v>-0</v>
      </c>
      <c r="H15" s="86" t="n">
        <f aca="false">-'Debt Schedule'!H5</f>
        <v>-0</v>
      </c>
      <c r="I15" s="86" t="n">
        <f aca="false">-'Debt Schedule'!I5</f>
        <v>-0</v>
      </c>
      <c r="J15" s="86" t="n">
        <f aca="false">-'Debt Schedule'!J5</f>
        <v>-0</v>
      </c>
      <c r="K15" s="86" t="n">
        <f aca="false">-'Debt Schedule'!K5</f>
        <v>-0</v>
      </c>
      <c r="L15" s="86" t="n">
        <f aca="false">-'Debt Schedule'!L5</f>
        <v>-0</v>
      </c>
      <c r="M15" s="86" t="n">
        <f aca="false">-'Debt Schedule'!M5</f>
        <v>-0</v>
      </c>
      <c r="N15" s="86" t="n">
        <f aca="false">-'Debt Schedule'!N5</f>
        <v>-0</v>
      </c>
      <c r="O15" s="86" t="n">
        <f aca="false">-'Debt Schedule'!O5</f>
        <v>-0</v>
      </c>
      <c r="P15" s="86" t="n">
        <f aca="false">-'Debt Schedule'!P5</f>
        <v>-0</v>
      </c>
      <c r="Q15" s="86" t="n">
        <f aca="false">-'Debt Schedule'!Q5</f>
        <v>-0</v>
      </c>
      <c r="R15" s="86" t="n">
        <f aca="false">-'Debt Schedule'!R5</f>
        <v>-0</v>
      </c>
      <c r="S15" s="86" t="n">
        <f aca="false">-'Debt Schedule'!S5</f>
        <v>-0</v>
      </c>
      <c r="T15" s="86" t="n">
        <f aca="false">-'Debt Schedule'!T5</f>
        <v>-0</v>
      </c>
      <c r="U15" s="86" t="n">
        <f aca="false">-'Debt Schedule'!U5</f>
        <v>-0</v>
      </c>
      <c r="V15" s="86" t="n">
        <f aca="false">-'Debt Schedule'!V5</f>
        <v>-0</v>
      </c>
      <c r="W15" s="86" t="n">
        <f aca="false">-'Debt Schedule'!W5</f>
        <v>-0</v>
      </c>
      <c r="X15" s="86" t="n">
        <f aca="false">-'Debt Schedule'!X5</f>
        <v>-0</v>
      </c>
      <c r="Y15" s="86" t="n">
        <f aca="false">-'Debt Schedule'!Y5</f>
        <v>-0</v>
      </c>
    </row>
    <row r="16" customFormat="false" ht="15" hidden="false" customHeight="true" outlineLevel="0" collapsed="false">
      <c r="A16" s="77" t="s">
        <v>239</v>
      </c>
      <c r="C16" s="79" t="n">
        <f aca="false">C13+C15</f>
        <v>4.176967</v>
      </c>
      <c r="D16" s="79" t="n">
        <f aca="false">D13+D15</f>
        <v>6.5046725</v>
      </c>
      <c r="E16" s="79" t="n">
        <f aca="false">E13+E15</f>
        <v>7.557439</v>
      </c>
      <c r="F16" s="79" t="n">
        <f aca="false">F13+F15</f>
        <v>8.757988</v>
      </c>
      <c r="G16" s="79" t="n">
        <f aca="false">G13+G15</f>
        <v>10.126503</v>
      </c>
      <c r="H16" s="79" t="n">
        <f aca="false">H13+H15</f>
        <v>11.425754</v>
      </c>
      <c r="I16" s="79" t="n">
        <f aca="false">I13+I15</f>
        <v>6.1955505</v>
      </c>
      <c r="J16" s="79" t="n">
        <f aca="false">J13+J15</f>
        <v>7.1430365</v>
      </c>
      <c r="K16" s="79" t="n">
        <f aca="false">K13+K15</f>
        <v>7.5116775</v>
      </c>
      <c r="L16" s="79" t="n">
        <f aca="false">L13+L15</f>
        <v>6.7767665</v>
      </c>
      <c r="M16" s="79" t="n">
        <f aca="false">M13+M15</f>
        <v>5.13269950000001</v>
      </c>
      <c r="N16" s="79" t="n">
        <f aca="false">N13+N15</f>
        <v>3.8296505</v>
      </c>
      <c r="O16" s="79" t="n">
        <f aca="false">O13+O15</f>
        <v>3.1045185</v>
      </c>
      <c r="P16" s="79" t="n">
        <f aca="false">P13+P15</f>
        <v>2.218219</v>
      </c>
      <c r="Q16" s="79" t="n">
        <f aca="false">Q13+Q15</f>
        <v>1.207692</v>
      </c>
      <c r="R16" s="79" t="n">
        <f aca="false">R13+R15</f>
        <v>0.8825295</v>
      </c>
      <c r="S16" s="79" t="n">
        <f aca="false">S13+S15</f>
        <v>0.512144</v>
      </c>
      <c r="T16" s="79" t="n">
        <f aca="false">T13+T15</f>
        <v>0.4643515</v>
      </c>
      <c r="U16" s="79" t="n">
        <f aca="false">U13+U15</f>
        <v>0.409952</v>
      </c>
      <c r="V16" s="79" t="n">
        <f aca="false">V13+V15</f>
        <v>0.347958</v>
      </c>
      <c r="W16" s="79" t="n">
        <f aca="false">W13+W15</f>
        <v>0.2772315</v>
      </c>
      <c r="X16" s="79" t="n">
        <f aca="false">X13+X15</f>
        <v>0.196695</v>
      </c>
      <c r="Y16" s="79" t="n">
        <f aca="false">Y13+Y15</f>
        <v>0.104759</v>
      </c>
    </row>
    <row r="17" customFormat="false" ht="15" hidden="false" customHeight="true" outlineLevel="0" collapsed="false">
      <c r="A17" s="11" t="s">
        <v>240</v>
      </c>
      <c r="C17" s="19" t="n">
        <f aca="false">-MAX(C16,0)*Assumptions!$B$11</f>
        <v>-0.939817575</v>
      </c>
      <c r="D17" s="19" t="n">
        <f aca="false">-MAX(D16,0)*Assumptions!$B$11</f>
        <v>-1.4635513125</v>
      </c>
      <c r="E17" s="19" t="n">
        <f aca="false">-MAX(E16,0)*Assumptions!$B$11</f>
        <v>-1.700423775</v>
      </c>
      <c r="F17" s="19" t="n">
        <f aca="false">-MAX(F16,0)*Assumptions!$B$11</f>
        <v>-1.9705473</v>
      </c>
      <c r="G17" s="19" t="n">
        <f aca="false">-MAX(G16,0)*Assumptions!$B$11</f>
        <v>-2.278463175</v>
      </c>
      <c r="H17" s="19" t="n">
        <f aca="false">-MAX(H16,0)*Assumptions!$B$11</f>
        <v>-2.57079465</v>
      </c>
      <c r="I17" s="19" t="n">
        <f aca="false">-MAX(I16,0)*Assumptions!$B$11</f>
        <v>-1.3939988625</v>
      </c>
      <c r="J17" s="19" t="n">
        <f aca="false">-MAX(J16,0)*Assumptions!$B$11</f>
        <v>-1.6071832125</v>
      </c>
      <c r="K17" s="19" t="n">
        <f aca="false">-MAX(K16,0)*Assumptions!$B$11</f>
        <v>-1.6901274375</v>
      </c>
      <c r="L17" s="19" t="n">
        <f aca="false">-MAX(L16,0)*Assumptions!$B$11</f>
        <v>-1.5247724625</v>
      </c>
      <c r="M17" s="19" t="n">
        <f aca="false">-MAX(M16,0)*Assumptions!$B$11</f>
        <v>-1.1548573875</v>
      </c>
      <c r="N17" s="19" t="n">
        <f aca="false">-MAX(N16,0)*Assumptions!$B$11</f>
        <v>-0.861671362500001</v>
      </c>
      <c r="O17" s="19" t="n">
        <f aca="false">-MAX(O16,0)*Assumptions!$B$11</f>
        <v>-0.6985166625</v>
      </c>
      <c r="P17" s="19" t="n">
        <f aca="false">-MAX(P16,0)*Assumptions!$B$11</f>
        <v>-0.499099275</v>
      </c>
      <c r="Q17" s="19" t="n">
        <f aca="false">-MAX(Q16,0)*Assumptions!$B$11</f>
        <v>-0.2717307</v>
      </c>
      <c r="R17" s="19" t="n">
        <f aca="false">-MAX(R16,0)*Assumptions!$B$11</f>
        <v>-0.1985691375</v>
      </c>
      <c r="S17" s="19" t="n">
        <f aca="false">-MAX(S16,0)*Assumptions!$B$11</f>
        <v>-0.1152324</v>
      </c>
      <c r="T17" s="19" t="n">
        <f aca="false">-MAX(T16,0)*Assumptions!$B$11</f>
        <v>-0.1044790875</v>
      </c>
      <c r="U17" s="19" t="n">
        <f aca="false">-MAX(U16,0)*Assumptions!$B$11</f>
        <v>-0.0922392</v>
      </c>
      <c r="V17" s="19" t="n">
        <f aca="false">-MAX(V16,0)*Assumptions!$B$11</f>
        <v>-0.0782905500000001</v>
      </c>
      <c r="W17" s="19" t="n">
        <f aca="false">-MAX(W16,0)*Assumptions!$B$11</f>
        <v>-0.0623770875</v>
      </c>
      <c r="X17" s="19" t="n">
        <f aca="false">-MAX(X16,0)*Assumptions!$B$11</f>
        <v>-0.044256375</v>
      </c>
      <c r="Y17" s="19" t="n">
        <f aca="false">-MAX(Y16,0)*Assumptions!$B$11</f>
        <v>-0.023570775</v>
      </c>
    </row>
    <row r="18" customFormat="false" ht="15" hidden="false" customHeight="true" outlineLevel="0" collapsed="false">
      <c r="A18" s="77" t="s">
        <v>241</v>
      </c>
      <c r="C18" s="79" t="n">
        <f aca="false">C16+C17</f>
        <v>3.237149425</v>
      </c>
      <c r="D18" s="79" t="n">
        <f aca="false">D16+D17</f>
        <v>5.0411211875</v>
      </c>
      <c r="E18" s="79" t="n">
        <f aca="false">E16+E17</f>
        <v>5.857015225</v>
      </c>
      <c r="F18" s="79" t="n">
        <f aca="false">F16+F17</f>
        <v>6.7874407</v>
      </c>
      <c r="G18" s="79" t="n">
        <f aca="false">G16+G17</f>
        <v>7.848039825</v>
      </c>
      <c r="H18" s="79" t="n">
        <f aca="false">H16+H17</f>
        <v>8.85495935</v>
      </c>
      <c r="I18" s="79" t="n">
        <f aca="false">I16+I17</f>
        <v>4.8015516375</v>
      </c>
      <c r="J18" s="79" t="n">
        <f aca="false">J16+J17</f>
        <v>5.5358532875</v>
      </c>
      <c r="K18" s="79" t="n">
        <f aca="false">K16+K17</f>
        <v>5.8215500625</v>
      </c>
      <c r="L18" s="79" t="n">
        <f aca="false">L16+L17</f>
        <v>5.2519940375</v>
      </c>
      <c r="M18" s="79" t="n">
        <f aca="false">M16+M17</f>
        <v>3.9778421125</v>
      </c>
      <c r="N18" s="79" t="n">
        <f aca="false">N16+N17</f>
        <v>2.9679791375</v>
      </c>
      <c r="O18" s="79" t="n">
        <f aca="false">O16+O17</f>
        <v>2.4060018375</v>
      </c>
      <c r="P18" s="79" t="n">
        <f aca="false">P16+P17</f>
        <v>1.719119725</v>
      </c>
      <c r="Q18" s="79" t="n">
        <f aca="false">Q16+Q17</f>
        <v>0.935961299999999</v>
      </c>
      <c r="R18" s="79" t="n">
        <f aca="false">R16+R17</f>
        <v>0.6839603625</v>
      </c>
      <c r="S18" s="79" t="n">
        <f aca="false">S16+S17</f>
        <v>0.3969116</v>
      </c>
      <c r="T18" s="79" t="n">
        <f aca="false">T16+T17</f>
        <v>0.3598724125</v>
      </c>
      <c r="U18" s="79" t="n">
        <f aca="false">U16+U17</f>
        <v>0.3177128</v>
      </c>
      <c r="V18" s="79" t="n">
        <f aca="false">V16+V17</f>
        <v>0.26966745</v>
      </c>
      <c r="W18" s="79" t="n">
        <f aca="false">W16+W17</f>
        <v>0.2148544125</v>
      </c>
      <c r="X18" s="79" t="n">
        <f aca="false">X16+X17</f>
        <v>0.152438625</v>
      </c>
      <c r="Y18" s="79" t="n">
        <f aca="false">Y16+Y17</f>
        <v>0.081188225</v>
      </c>
    </row>
    <row r="19" customFormat="false" ht="15" hidden="false" customHeight="true" outlineLevel="0" collapsed="false">
      <c r="A19" s="11" t="s">
        <v>242</v>
      </c>
      <c r="C19" s="15" t="n">
        <f aca="false">IF(C4=0,0,C18/C4)</f>
        <v>0.145290047171082</v>
      </c>
      <c r="D19" s="15" t="n">
        <f aca="false">IF(D4=0,0,D18/D4)</f>
        <v>0.188238501428278</v>
      </c>
      <c r="E19" s="15" t="n">
        <f aca="false">IF(E4=0,0,E18/E4)</f>
        <v>0.183546803999975</v>
      </c>
      <c r="F19" s="15" t="n">
        <f aca="false">IF(F4=0,0,F18/F4)</f>
        <v>0.179759754120937</v>
      </c>
      <c r="G19" s="15" t="n">
        <f aca="false">IF(G4=0,0,G18/G4)</f>
        <v>0.176656593412777</v>
      </c>
      <c r="H19" s="15" t="n">
        <f aca="false">IF(H4=0,0,H18/H4)</f>
        <v>0.173093119834549</v>
      </c>
      <c r="I19" s="15" t="n">
        <f aca="false">IF(I4=0,0,I18/I4)</f>
        <v>0.128518093447963</v>
      </c>
      <c r="J19" s="15" t="n">
        <f aca="false">IF(J4=0,0,J18/J4)</f>
        <v>0.144480024833162</v>
      </c>
      <c r="K19" s="15" t="n">
        <f aca="false">IF(K4=0,0,K18/K4)</f>
        <v>0.163299627273875</v>
      </c>
      <c r="L19" s="15" t="n">
        <f aca="false">IF(L4=0,0,L18/L4)</f>
        <v>0.169804234683815</v>
      </c>
      <c r="M19" s="15" t="n">
        <f aca="false">IF(M4=0,0,M18/M4)</f>
        <v>0.155694021022267</v>
      </c>
      <c r="N19" s="15" t="n">
        <f aca="false">IF(N4=0,0,N18/N4)</f>
        <v>0.139205152573297</v>
      </c>
      <c r="O19" s="15" t="n">
        <f aca="false">IF(O4=0,0,O18/O4)</f>
        <v>0.156607098572572</v>
      </c>
      <c r="P19" s="15" t="n">
        <f aca="false">IF(P4=0,0,P18/P4)</f>
        <v>0.147510745053285</v>
      </c>
      <c r="Q19" s="15" t="n">
        <f aca="false">IF(Q4=0,0,Q18/Q4)</f>
        <v>0.126045208468003</v>
      </c>
      <c r="R19" s="15" t="n">
        <f aca="false">IF(R4=0,0,R18/R4)</f>
        <v>0.11705436540535</v>
      </c>
      <c r="S19" s="15" t="n">
        <f aca="false">IF(S4=0,0,S18/S4)</f>
        <v>0.0982649039413746</v>
      </c>
      <c r="T19" s="15" t="n">
        <f aca="false">IF(T4=0,0,T18/T4)</f>
        <v>0.098253313812215</v>
      </c>
      <c r="U19" s="15" t="n">
        <f aca="false">IF(U4=0,0,U18/U4)</f>
        <v>0.0982535873330035</v>
      </c>
      <c r="V19" s="15" t="n">
        <f aca="false">IF(V4=0,0,V18/V4)</f>
        <v>0.0982609860078707</v>
      </c>
      <c r="W19" s="15" t="n">
        <f aca="false">IF(W4=0,0,W18/W4)</f>
        <v>0.0982550932912609</v>
      </c>
      <c r="X19" s="15" t="n">
        <f aca="false">IF(X4=0,0,X18/X4)</f>
        <v>0.0982840909090909</v>
      </c>
      <c r="Y19" s="15" t="n">
        <f aca="false">IF(Y4=0,0,Y18/Y4)</f>
        <v>0.0982670358266763</v>
      </c>
    </row>
    <row r="22" customFormat="false" ht="15" hidden="false" customHeight="true" outlineLevel="0" collapsed="false">
      <c r="A22" s="10" t="s">
        <v>243</v>
      </c>
      <c r="B22" s="10"/>
      <c r="C22" s="10"/>
      <c r="D22" s="10"/>
      <c r="E22" s="88"/>
      <c r="F22" s="89"/>
    </row>
    <row r="23" customFormat="false" ht="15" hidden="false" customHeight="true" outlineLevel="0" collapsed="false">
      <c r="A23" s="51" t="s">
        <v>194</v>
      </c>
      <c r="B23" s="51" t="s">
        <v>244</v>
      </c>
      <c r="C23" s="51" t="s">
        <v>245</v>
      </c>
      <c r="D23" s="51" t="s">
        <v>246</v>
      </c>
      <c r="E23" s="89"/>
      <c r="F23" s="89"/>
    </row>
    <row r="24" customFormat="false" ht="15" hidden="false" customHeight="true" outlineLevel="0" collapsed="false">
      <c r="A24" s="11" t="s">
        <v>229</v>
      </c>
      <c r="B24" s="19" t="n">
        <v>15.096</v>
      </c>
      <c r="C24" s="19" t="n">
        <v>19.003</v>
      </c>
      <c r="D24" s="19" t="n">
        <v>19.808</v>
      </c>
      <c r="E24" s="89"/>
      <c r="F24" s="89"/>
    </row>
    <row r="25" customFormat="false" ht="15" hidden="false" customHeight="true" outlineLevel="0" collapsed="false">
      <c r="A25" s="11" t="s">
        <v>247</v>
      </c>
      <c r="B25" s="19" t="n">
        <v>-8.396</v>
      </c>
      <c r="C25" s="19" t="n">
        <v>-9.921</v>
      </c>
      <c r="D25" s="19" t="n">
        <v>-9.912</v>
      </c>
      <c r="E25" s="89"/>
      <c r="F25" s="89"/>
    </row>
    <row r="26" customFormat="false" ht="15" hidden="false" customHeight="true" outlineLevel="0" collapsed="false">
      <c r="A26" s="11" t="s">
        <v>230</v>
      </c>
      <c r="B26" s="19" t="n">
        <v>6.7</v>
      </c>
      <c r="C26" s="19" t="n">
        <v>9.082</v>
      </c>
      <c r="D26" s="19" t="n">
        <v>9.896</v>
      </c>
      <c r="E26" s="89"/>
      <c r="F26" s="89"/>
    </row>
    <row r="27" customFormat="false" ht="15" hidden="false" customHeight="true" outlineLevel="0" collapsed="false">
      <c r="A27" s="11" t="s">
        <v>201</v>
      </c>
      <c r="B27" s="19" t="n">
        <v>-1.509</v>
      </c>
      <c r="C27" s="19" t="n">
        <v>-1.886</v>
      </c>
      <c r="D27" s="19" t="n">
        <v>-3.211</v>
      </c>
      <c r="E27" s="89"/>
      <c r="F27" s="89"/>
    </row>
    <row r="28" customFormat="false" ht="15" hidden="false" customHeight="true" outlineLevel="0" collapsed="false">
      <c r="A28" s="11" t="s">
        <v>248</v>
      </c>
      <c r="B28" s="19" t="n">
        <v>0.388</v>
      </c>
      <c r="C28" s="19" t="n">
        <v>0.468</v>
      </c>
      <c r="D28" s="19" t="n">
        <v>1.105</v>
      </c>
      <c r="E28" s="89"/>
      <c r="F28" s="89"/>
    </row>
    <row r="29" customFormat="false" ht="15" hidden="false" customHeight="true" outlineLevel="0" collapsed="false">
      <c r="A29" s="11" t="s">
        <v>233</v>
      </c>
      <c r="B29" s="19" t="n">
        <v>5.579</v>
      </c>
      <c r="C29" s="19" t="n">
        <v>7.664</v>
      </c>
      <c r="D29" s="19" t="n">
        <v>7.79</v>
      </c>
      <c r="E29" s="89"/>
      <c r="F29" s="89"/>
    </row>
    <row r="30" customFormat="false" ht="15" hidden="false" customHeight="true" outlineLevel="0" collapsed="false">
      <c r="A30" s="11" t="s">
        <v>235</v>
      </c>
      <c r="B30" s="19" t="n">
        <v>-0.424</v>
      </c>
      <c r="C30" s="19" t="n">
        <v>-0.52</v>
      </c>
      <c r="D30" s="19" t="n">
        <v>-1.406</v>
      </c>
      <c r="E30" s="89"/>
      <c r="F30" s="89"/>
    </row>
    <row r="31" customFormat="false" ht="15" hidden="false" customHeight="true" outlineLevel="0" collapsed="false">
      <c r="A31" s="11" t="s">
        <v>236</v>
      </c>
      <c r="B31" s="19" t="n">
        <v>5.155</v>
      </c>
      <c r="C31" s="19" t="n">
        <v>7.144</v>
      </c>
      <c r="D31" s="19" t="n">
        <v>6.384</v>
      </c>
      <c r="E31" s="89"/>
      <c r="F31" s="89"/>
    </row>
    <row r="32" customFormat="false" ht="15" hidden="false" customHeight="true" outlineLevel="0" collapsed="false">
      <c r="A32" s="11" t="s">
        <v>249</v>
      </c>
      <c r="B32" s="19" t="n">
        <v>1.338</v>
      </c>
      <c r="C32" s="19" t="n">
        <v>1.411</v>
      </c>
      <c r="D32" s="19" t="n">
        <v>1.719</v>
      </c>
      <c r="E32" s="89"/>
      <c r="F32" s="89"/>
    </row>
    <row r="33" customFormat="false" ht="15" hidden="false" customHeight="true" outlineLevel="0" collapsed="false">
      <c r="A33" s="11" t="s">
        <v>250</v>
      </c>
      <c r="B33" s="19" t="n">
        <v>2.268</v>
      </c>
      <c r="C33" s="19" t="n">
        <v>10.708</v>
      </c>
      <c r="D33" s="19" t="n">
        <v>-1.004</v>
      </c>
      <c r="E33" s="89"/>
      <c r="F33" s="89"/>
    </row>
    <row r="34" customFormat="false" ht="15" hidden="false" customHeight="true" outlineLevel="0" collapsed="false">
      <c r="A34" s="11" t="s">
        <v>239</v>
      </c>
      <c r="B34" s="19" t="n">
        <v>8.761</v>
      </c>
      <c r="C34" s="19" t="n">
        <v>19.263</v>
      </c>
      <c r="D34" s="19" t="n">
        <v>7.099</v>
      </c>
      <c r="E34" s="89"/>
      <c r="F34" s="89"/>
    </row>
    <row r="35" customFormat="false" ht="15" hidden="false" customHeight="true" outlineLevel="0" collapsed="false">
      <c r="A35" s="11" t="s">
        <v>240</v>
      </c>
      <c r="B35" s="19" t="n">
        <v>-1.95</v>
      </c>
      <c r="C35" s="19" t="n">
        <v>-3.858</v>
      </c>
      <c r="D35" s="19" t="n">
        <v>-1.554</v>
      </c>
      <c r="E35" s="89"/>
      <c r="F35" s="89"/>
    </row>
    <row r="36" customFormat="false" ht="15" hidden="false" customHeight="true" outlineLevel="0" collapsed="false">
      <c r="A36" s="11" t="s">
        <v>241</v>
      </c>
      <c r="B36" s="19" t="n">
        <v>6.811</v>
      </c>
      <c r="C36" s="19" t="n">
        <v>15.405</v>
      </c>
      <c r="D36" s="19" t="n">
        <v>5.545</v>
      </c>
      <c r="E36" s="89"/>
      <c r="F36" s="89"/>
    </row>
    <row r="37" customFormat="false" ht="15" hidden="false" customHeight="true" outlineLevel="0" collapsed="false">
      <c r="A37" s="11" t="s">
        <v>251</v>
      </c>
      <c r="B37" s="19" t="n">
        <v>6.502</v>
      </c>
      <c r="C37" s="19" t="n">
        <v>15.004</v>
      </c>
      <c r="D37" s="19" t="n">
        <v>4.968</v>
      </c>
      <c r="E37" s="89"/>
      <c r="F37" s="89"/>
    </row>
    <row r="38" customFormat="false" ht="15" hidden="false" customHeight="true" outlineLevel="0" collapsed="false">
      <c r="A38" s="11" t="s">
        <v>252</v>
      </c>
      <c r="B38" s="19" t="n">
        <v>1.44</v>
      </c>
      <c r="C38" s="19" t="n">
        <v>3.31</v>
      </c>
      <c r="D38" s="19" t="n">
        <v>0.91</v>
      </c>
      <c r="E38" s="89"/>
      <c r="F38" s="89"/>
    </row>
    <row r="39" customFormat="false" ht="15" hidden="false" customHeight="false" outlineLevel="0" collapsed="false">
      <c r="A39" s="89"/>
      <c r="B39" s="89"/>
      <c r="C39" s="89"/>
      <c r="D39" s="89"/>
      <c r="E39" s="89"/>
      <c r="F39" s="89"/>
    </row>
    <row r="40" customFormat="false" ht="15" hidden="false" customHeight="false" outlineLevel="0" collapsed="false">
      <c r="A40" s="89"/>
      <c r="B40" s="89"/>
      <c r="C40" s="89"/>
      <c r="D40" s="89"/>
      <c r="E40" s="89"/>
      <c r="F40" s="8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5" min="3" style="1" width="9"/>
  </cols>
  <sheetData>
    <row r="1" customFormat="false" ht="15.75" hidden="false" customHeight="true" outlineLevel="0" collapsed="false">
      <c r="A1" s="7" t="s">
        <v>253</v>
      </c>
      <c r="B1" s="8"/>
      <c r="C1" s="8"/>
      <c r="D1" s="8"/>
      <c r="E1" s="8"/>
      <c r="F1" s="8"/>
      <c r="G1" s="8"/>
      <c r="H1" s="8"/>
      <c r="I1" s="8"/>
      <c r="J1" s="8"/>
      <c r="K1" s="8"/>
      <c r="L1" s="8"/>
      <c r="M1" s="8"/>
      <c r="N1" s="8"/>
      <c r="O1" s="8"/>
      <c r="P1" s="8"/>
      <c r="Q1" s="8"/>
      <c r="R1" s="8"/>
      <c r="S1" s="8"/>
      <c r="T1" s="8"/>
      <c r="U1" s="8"/>
      <c r="V1" s="8"/>
      <c r="W1" s="8"/>
      <c r="X1" s="8"/>
      <c r="Y1" s="8"/>
    </row>
    <row r="2" customFormat="false" ht="15" hidden="false" customHeight="true" outlineLevel="0" collapsed="false">
      <c r="A2" s="87" t="s">
        <v>254</v>
      </c>
      <c r="B2" s="8"/>
      <c r="C2" s="8"/>
      <c r="D2" s="8"/>
      <c r="E2" s="8"/>
      <c r="F2" s="8"/>
      <c r="G2" s="8"/>
      <c r="H2" s="8"/>
      <c r="I2" s="8"/>
      <c r="J2" s="8"/>
      <c r="K2" s="8"/>
      <c r="L2" s="8"/>
      <c r="M2" s="8"/>
      <c r="N2" s="8"/>
      <c r="O2" s="8"/>
      <c r="P2" s="8"/>
      <c r="Q2" s="8"/>
      <c r="R2" s="8"/>
      <c r="S2" s="8"/>
      <c r="T2" s="8"/>
      <c r="U2" s="8"/>
      <c r="V2" s="8"/>
      <c r="W2" s="8"/>
      <c r="X2" s="8"/>
      <c r="Y2" s="8"/>
    </row>
    <row r="3" customFormat="false" ht="15" hidden="false" customHeight="true" outlineLevel="0" collapsed="false">
      <c r="A3" s="51" t="s">
        <v>194</v>
      </c>
      <c r="C3" s="85" t="s">
        <v>206</v>
      </c>
      <c r="D3" s="85" t="s">
        <v>207</v>
      </c>
      <c r="E3" s="85" t="s">
        <v>208</v>
      </c>
      <c r="F3" s="85" t="s">
        <v>209</v>
      </c>
      <c r="G3" s="85" t="s">
        <v>210</v>
      </c>
      <c r="H3" s="85" t="s">
        <v>211</v>
      </c>
      <c r="I3" s="85" t="s">
        <v>212</v>
      </c>
      <c r="J3" s="85" t="s">
        <v>213</v>
      </c>
      <c r="K3" s="85" t="s">
        <v>214</v>
      </c>
      <c r="L3" s="85" t="s">
        <v>215</v>
      </c>
      <c r="M3" s="85" t="s">
        <v>216</v>
      </c>
      <c r="N3" s="85" t="s">
        <v>217</v>
      </c>
      <c r="O3" s="85" t="s">
        <v>218</v>
      </c>
      <c r="P3" s="85" t="s">
        <v>219</v>
      </c>
      <c r="Q3" s="85" t="s">
        <v>220</v>
      </c>
      <c r="R3" s="85" t="s">
        <v>221</v>
      </c>
      <c r="S3" s="85" t="s">
        <v>222</v>
      </c>
      <c r="T3" s="85" t="s">
        <v>223</v>
      </c>
      <c r="U3" s="85" t="s">
        <v>224</v>
      </c>
      <c r="V3" s="85" t="s">
        <v>225</v>
      </c>
      <c r="W3" s="85" t="s">
        <v>226</v>
      </c>
      <c r="X3" s="85" t="s">
        <v>227</v>
      </c>
      <c r="Y3" s="85" t="s">
        <v>228</v>
      </c>
    </row>
    <row r="4" customFormat="false" ht="15" hidden="false" customHeight="true" outlineLevel="0" collapsed="false">
      <c r="A4" s="11" t="s">
        <v>255</v>
      </c>
      <c r="C4" s="19" t="n">
        <f aca="false">Assumptions!$B$6</f>
        <v>7.8</v>
      </c>
      <c r="D4" s="19" t="n">
        <f aca="false">C18</f>
        <v>0</v>
      </c>
      <c r="E4" s="19" t="n">
        <f aca="false">D18</f>
        <v>0</v>
      </c>
      <c r="F4" s="19" t="n">
        <f aca="false">E18</f>
        <v>0</v>
      </c>
      <c r="G4" s="19" t="n">
        <f aca="false">F18</f>
        <v>0</v>
      </c>
      <c r="H4" s="19" t="n">
        <f aca="false">G18</f>
        <v>0</v>
      </c>
      <c r="I4" s="19" t="n">
        <f aca="false">H18</f>
        <v>0</v>
      </c>
      <c r="J4" s="19" t="n">
        <f aca="false">I18</f>
        <v>0</v>
      </c>
      <c r="K4" s="19" t="n">
        <f aca="false">J18</f>
        <v>0</v>
      </c>
      <c r="L4" s="19" t="n">
        <f aca="false">K18</f>
        <v>0</v>
      </c>
      <c r="M4" s="19" t="n">
        <f aca="false">L18</f>
        <v>0</v>
      </c>
      <c r="N4" s="19" t="n">
        <f aca="false">M18</f>
        <v>0</v>
      </c>
      <c r="O4" s="19" t="n">
        <f aca="false">N18</f>
        <v>0</v>
      </c>
      <c r="P4" s="19" t="n">
        <f aca="false">O18</f>
        <v>0</v>
      </c>
      <c r="Q4" s="19" t="n">
        <f aca="false">P18</f>
        <v>0</v>
      </c>
      <c r="R4" s="19" t="n">
        <f aca="false">Q18</f>
        <v>0</v>
      </c>
      <c r="S4" s="19" t="n">
        <f aca="false">R18</f>
        <v>0</v>
      </c>
      <c r="T4" s="19" t="n">
        <f aca="false">S18</f>
        <v>0</v>
      </c>
      <c r="U4" s="19" t="n">
        <f aca="false">T18</f>
        <v>0</v>
      </c>
      <c r="V4" s="19" t="n">
        <f aca="false">U18</f>
        <v>0</v>
      </c>
      <c r="W4" s="19" t="n">
        <f aca="false">V18</f>
        <v>0</v>
      </c>
      <c r="X4" s="19" t="n">
        <f aca="false">W18</f>
        <v>0</v>
      </c>
      <c r="Y4" s="19" t="n">
        <f aca="false">X18</f>
        <v>0</v>
      </c>
    </row>
    <row r="5" customFormat="false" ht="15" hidden="false" customHeight="true" outlineLevel="0" collapsed="false">
      <c r="A5" s="11" t="s">
        <v>238</v>
      </c>
      <c r="C5" s="19" t="n">
        <f aca="false">C4*Assumptions!$B$12</f>
        <v>1.404</v>
      </c>
      <c r="D5" s="19" t="n">
        <f aca="false">D4*Assumptions!$B$12</f>
        <v>0</v>
      </c>
      <c r="E5" s="19" t="n">
        <f aca="false">E4*Assumptions!$B$12</f>
        <v>0</v>
      </c>
      <c r="F5" s="19" t="n">
        <f aca="false">F4*Assumptions!$B$12</f>
        <v>0</v>
      </c>
      <c r="G5" s="19" t="n">
        <f aca="false">G4*Assumptions!$B$12</f>
        <v>0</v>
      </c>
      <c r="H5" s="19" t="n">
        <f aca="false">H4*Assumptions!$B$12</f>
        <v>0</v>
      </c>
      <c r="I5" s="19" t="n">
        <f aca="false">I4*Assumptions!$B$12</f>
        <v>0</v>
      </c>
      <c r="J5" s="19" t="n">
        <f aca="false">J4*Assumptions!$B$12</f>
        <v>0</v>
      </c>
      <c r="K5" s="19" t="n">
        <f aca="false">K4*Assumptions!$B$12</f>
        <v>0</v>
      </c>
      <c r="L5" s="19" t="n">
        <f aca="false">L4*Assumptions!$B$12</f>
        <v>0</v>
      </c>
      <c r="M5" s="19" t="n">
        <f aca="false">M4*Assumptions!$B$12</f>
        <v>0</v>
      </c>
      <c r="N5" s="19" t="n">
        <f aca="false">N4*Assumptions!$B$12</f>
        <v>0</v>
      </c>
      <c r="O5" s="19" t="n">
        <f aca="false">O4*Assumptions!$B$12</f>
        <v>0</v>
      </c>
      <c r="P5" s="19" t="n">
        <f aca="false">P4*Assumptions!$B$12</f>
        <v>0</v>
      </c>
      <c r="Q5" s="19" t="n">
        <f aca="false">Q4*Assumptions!$B$12</f>
        <v>0</v>
      </c>
      <c r="R5" s="19" t="n">
        <f aca="false">R4*Assumptions!$B$12</f>
        <v>0</v>
      </c>
      <c r="S5" s="19" t="n">
        <f aca="false">S4*Assumptions!$B$12</f>
        <v>0</v>
      </c>
      <c r="T5" s="19" t="n">
        <f aca="false">T4*Assumptions!$B$12</f>
        <v>0</v>
      </c>
      <c r="U5" s="19" t="n">
        <f aca="false">U4*Assumptions!$B$12</f>
        <v>0</v>
      </c>
      <c r="V5" s="19" t="n">
        <f aca="false">V4*Assumptions!$B$12</f>
        <v>0</v>
      </c>
      <c r="W5" s="19" t="n">
        <f aca="false">W4*Assumptions!$B$12</f>
        <v>0</v>
      </c>
      <c r="X5" s="19" t="n">
        <f aca="false">X4*Assumptions!$B$12</f>
        <v>0</v>
      </c>
      <c r="Y5" s="19" t="n">
        <f aca="false">Y4*Assumptions!$B$12</f>
        <v>0</v>
      </c>
    </row>
    <row r="6" customFormat="false" ht="15" hidden="false" customHeight="true" outlineLevel="0" collapsed="false">
      <c r="A6" s="11" t="s">
        <v>196</v>
      </c>
      <c r="C6" s="86" t="n">
        <f aca="false">'Project Cash Flows'!C6</f>
        <v>14.5324</v>
      </c>
      <c r="D6" s="86" t="n">
        <f aca="false">'Project Cash Flows'!D6</f>
        <v>17.8413</v>
      </c>
      <c r="E6" s="86" t="n">
        <f aca="false">'Project Cash Flows'!E6</f>
        <v>21.6132</v>
      </c>
      <c r="F6" s="86" t="n">
        <f aca="false">'Project Cash Flows'!F6</f>
        <v>25.9136</v>
      </c>
      <c r="G6" s="86" t="n">
        <f aca="false">'Project Cash Flows'!G6</f>
        <v>30.8157</v>
      </c>
      <c r="H6" s="86" t="n">
        <f aca="false">'Project Cash Flows'!H6</f>
        <v>36.4043</v>
      </c>
      <c r="I6" s="86" t="n">
        <f aca="false">'Project Cash Flows'!I6</f>
        <v>29.9057</v>
      </c>
      <c r="J6" s="86" t="n">
        <f aca="false">'Project Cash Flows'!J6</f>
        <v>34.1139</v>
      </c>
      <c r="K6" s="86" t="n">
        <f aca="false">'Project Cash Flows'!K6</f>
        <v>36.4133</v>
      </c>
      <c r="L6" s="86" t="n">
        <f aca="false">'Project Cash Flows'!L6</f>
        <v>34.4646</v>
      </c>
      <c r="M6" s="86" t="n">
        <f aca="false">'Project Cash Flows'!M6</f>
        <v>32.075</v>
      </c>
      <c r="N6" s="86" t="n">
        <f aca="false">'Project Cash Flows'!N6</f>
        <v>29.351</v>
      </c>
      <c r="O6" s="86" t="n">
        <f aca="false">'Project Cash Flows'!O6</f>
        <v>25.1151</v>
      </c>
      <c r="P6" s="86" t="n">
        <f aca="false">'Project Cash Flows'!P6</f>
        <v>20.1451</v>
      </c>
      <c r="Q6" s="86" t="n">
        <f aca="false">'Project Cash Flows'!Q6</f>
        <v>14.4794</v>
      </c>
      <c r="R6" s="86" t="n">
        <f aca="false">'Project Cash Flows'!R6</f>
        <v>9.0921</v>
      </c>
      <c r="S6" s="86" t="n">
        <f aca="false">'Project Cash Flows'!S6</f>
        <v>5.0314</v>
      </c>
      <c r="T6" s="86" t="n">
        <f aca="false">'Project Cash Flows'!T6</f>
        <v>2.9521</v>
      </c>
      <c r="U6" s="86" t="n">
        <f aca="false">'Project Cash Flows'!U6</f>
        <v>2.0938</v>
      </c>
      <c r="V6" s="86" t="n">
        <f aca="false">'Project Cash Flows'!V6</f>
        <v>1.1154</v>
      </c>
      <c r="W6" s="86" t="n">
        <f aca="false">'Project Cash Flows'!W6</f>
        <v>0</v>
      </c>
      <c r="X6" s="86" t="n">
        <f aca="false">'Project Cash Flows'!X6</f>
        <v>0</v>
      </c>
      <c r="Y6" s="86" t="n">
        <f aca="false">'Project Cash Flows'!Y6</f>
        <v>0</v>
      </c>
    </row>
    <row r="7" customFormat="false" ht="15" hidden="false" customHeight="true" outlineLevel="0" collapsed="false">
      <c r="A7" s="11" t="s">
        <v>256</v>
      </c>
      <c r="C7" s="86" t="n">
        <f aca="false">-'Project Cash Flows'!C9</f>
        <v>-5.3614</v>
      </c>
      <c r="D7" s="86" t="n">
        <f aca="false">-'Project Cash Flows'!D9</f>
        <v>-6.2065</v>
      </c>
      <c r="E7" s="86" t="n">
        <f aca="false">-'Project Cash Flows'!E9</f>
        <v>-7.17</v>
      </c>
      <c r="F7" s="86" t="n">
        <f aca="false">-'Project Cash Flows'!F9</f>
        <v>-8.2683</v>
      </c>
      <c r="G7" s="86" t="n">
        <f aca="false">-'Project Cash Flows'!G9</f>
        <v>-9.5206</v>
      </c>
      <c r="H7" s="86" t="n">
        <f aca="false">-'Project Cash Flows'!H9</f>
        <v>-10.8307</v>
      </c>
      <c r="I7" s="86" t="n">
        <f aca="false">-'Project Cash Flows'!I9</f>
        <v>-7.1971</v>
      </c>
      <c r="J7" s="86" t="n">
        <f aca="false">-'Project Cash Flows'!J9</f>
        <v>-7.4557</v>
      </c>
      <c r="K7" s="86" t="n">
        <f aca="false">-'Project Cash Flows'!K9</f>
        <v>-6.9855</v>
      </c>
      <c r="L7" s="86" t="n">
        <f aca="false">-'Project Cash Flows'!L9</f>
        <v>-6.1918</v>
      </c>
      <c r="M7" s="86" t="n">
        <f aca="false">-'Project Cash Flows'!M9</f>
        <v>-5.2866</v>
      </c>
      <c r="N7" s="86" t="n">
        <f aca="false">-'Project Cash Flows'!N9</f>
        <v>-4.5123</v>
      </c>
      <c r="O7" s="86" t="n">
        <f aca="false">-'Project Cash Flows'!O9</f>
        <v>-3.3123</v>
      </c>
      <c r="P7" s="86" t="n">
        <f aca="false">-'Project Cash Flows'!P9</f>
        <v>-2.5699</v>
      </c>
      <c r="Q7" s="86" t="n">
        <f aca="false">-'Project Cash Flows'!Q9</f>
        <v>-1.7237</v>
      </c>
      <c r="R7" s="86" t="n">
        <f aca="false">-'Project Cash Flows'!R9</f>
        <v>-1.4446</v>
      </c>
      <c r="S7" s="86" t="n">
        <f aca="false">-'Project Cash Flows'!S9</f>
        <v>-1.1262</v>
      </c>
      <c r="T7" s="86" t="n">
        <f aca="false">-'Project Cash Flows'!T9</f>
        <v>-1.0212</v>
      </c>
      <c r="U7" s="86" t="n">
        <f aca="false">-'Project Cash Flows'!U9</f>
        <v>-0.9016</v>
      </c>
      <c r="V7" s="86" t="n">
        <f aca="false">-'Project Cash Flows'!V9</f>
        <v>-0.7652</v>
      </c>
      <c r="W7" s="86" t="n">
        <f aca="false">-'Project Cash Flows'!W9</f>
        <v>-0.6097</v>
      </c>
      <c r="X7" s="86" t="n">
        <f aca="false">-'Project Cash Flows'!X9</f>
        <v>-0.4324</v>
      </c>
      <c r="Y7" s="86" t="n">
        <f aca="false">-'Project Cash Flows'!Y9</f>
        <v>-0.2304</v>
      </c>
    </row>
    <row r="8" customFormat="false" ht="15" hidden="false" customHeight="true" outlineLevel="0" collapsed="false">
      <c r="A8" s="11" t="s">
        <v>257</v>
      </c>
      <c r="C8" s="86" t="n">
        <f aca="false">-'Project Cash Flows'!C10</f>
        <v>-0.0422</v>
      </c>
      <c r="D8" s="86" t="n">
        <f aca="false">-'Project Cash Flows'!D10</f>
        <v>-0.0902</v>
      </c>
      <c r="E8" s="86" t="n">
        <f aca="false">-'Project Cash Flows'!E10</f>
        <v>-0.145</v>
      </c>
      <c r="F8" s="86" t="n">
        <f aca="false">-'Project Cash Flows'!F10</f>
        <v>-0.2075</v>
      </c>
      <c r="G8" s="86" t="n">
        <f aca="false">-'Project Cash Flows'!G10</f>
        <v>-0.2787</v>
      </c>
      <c r="H8" s="86" t="n">
        <f aca="false">-'Project Cash Flows'!H10</f>
        <v>-0.3599</v>
      </c>
      <c r="I8" s="86" t="n">
        <f aca="false">-'Project Cash Flows'!I10</f>
        <v>-0.4525</v>
      </c>
      <c r="J8" s="86" t="n">
        <f aca="false">-'Project Cash Flows'!J10</f>
        <v>-0.558</v>
      </c>
      <c r="K8" s="86" t="n">
        <f aca="false">-'Project Cash Flows'!K10</f>
        <v>-0.6783</v>
      </c>
      <c r="L8" s="86" t="n">
        <f aca="false">-'Project Cash Flows'!L10</f>
        <v>-0.8154</v>
      </c>
      <c r="M8" s="86" t="n">
        <f aca="false">-'Project Cash Flows'!M10</f>
        <v>-0.9718</v>
      </c>
      <c r="N8" s="86" t="n">
        <f aca="false">-'Project Cash Flows'!N10</f>
        <v>-1.15</v>
      </c>
      <c r="O8" s="86" t="n">
        <f aca="false">-'Project Cash Flows'!O10</f>
        <v>-1.1078</v>
      </c>
      <c r="P8" s="86" t="n">
        <f aca="false">-'Project Cash Flows'!P10</f>
        <v>-1.0598</v>
      </c>
      <c r="Q8" s="86" t="n">
        <f aca="false">-'Project Cash Flows'!Q10</f>
        <v>-1.005</v>
      </c>
      <c r="R8" s="86" t="n">
        <f aca="false">-'Project Cash Flows'!R10</f>
        <v>-0.9425</v>
      </c>
      <c r="S8" s="86" t="n">
        <f aca="false">-'Project Cash Flows'!S10</f>
        <v>-0.8713</v>
      </c>
      <c r="T8" s="86" t="n">
        <f aca="false">-'Project Cash Flows'!T10</f>
        <v>-0.7901</v>
      </c>
      <c r="U8" s="86" t="n">
        <f aca="false">-'Project Cash Flows'!U10</f>
        <v>-0.6975</v>
      </c>
      <c r="V8" s="86" t="n">
        <f aca="false">-'Project Cash Flows'!V10</f>
        <v>-0.592</v>
      </c>
      <c r="W8" s="86" t="n">
        <f aca="false">-'Project Cash Flows'!W10</f>
        <v>-0.4717</v>
      </c>
      <c r="X8" s="86" t="n">
        <f aca="false">-'Project Cash Flows'!X10</f>
        <v>-0.3346</v>
      </c>
      <c r="Y8" s="86" t="n">
        <f aca="false">-'Project Cash Flows'!Y10</f>
        <v>-0.1782</v>
      </c>
    </row>
    <row r="9" customFormat="false" ht="15" hidden="false" customHeight="true" outlineLevel="0" collapsed="false">
      <c r="A9" s="11" t="s">
        <v>201</v>
      </c>
      <c r="C9" s="86" t="n">
        <f aca="false">-'Project Cash Flows'!C11</f>
        <v>-1.7718</v>
      </c>
      <c r="D9" s="86" t="n">
        <f aca="false">-'Project Cash Flows'!D11</f>
        <v>-2.0199</v>
      </c>
      <c r="E9" s="86" t="n">
        <f aca="false">-'Project Cash Flows'!E11</f>
        <v>-2.3025</v>
      </c>
      <c r="F9" s="86" t="n">
        <f aca="false">-'Project Cash Flows'!F11</f>
        <v>-2.6249</v>
      </c>
      <c r="G9" s="86" t="n">
        <f aca="false">-'Project Cash Flows'!G11</f>
        <v>-2.9923</v>
      </c>
      <c r="H9" s="86" t="n">
        <f aca="false">-'Project Cash Flows'!H11</f>
        <v>-3.4113</v>
      </c>
      <c r="I9" s="86" t="n">
        <f aca="false">-'Project Cash Flows'!I11</f>
        <v>-3.3668</v>
      </c>
      <c r="J9" s="86" t="n">
        <f aca="false">-'Project Cash Flows'!J11</f>
        <v>-2.4819</v>
      </c>
      <c r="K9" s="86" t="n">
        <f aca="false">-'Project Cash Flows'!K11</f>
        <v>-1.2428</v>
      </c>
      <c r="L9" s="86" t="n">
        <f aca="false">-'Project Cash Flows'!L11</f>
        <v>-0.6103</v>
      </c>
      <c r="M9" s="86" t="n">
        <f aca="false">-'Project Cash Flows'!M11</f>
        <v>-0.6958</v>
      </c>
      <c r="N9" s="86" t="n">
        <f aca="false">-'Project Cash Flows'!N11</f>
        <v>-0.7932</v>
      </c>
      <c r="O9" s="86" t="n">
        <f aca="false">-'Project Cash Flows'!O11</f>
        <v>-0</v>
      </c>
      <c r="P9" s="86" t="n">
        <f aca="false">-'Project Cash Flows'!P11</f>
        <v>-0</v>
      </c>
      <c r="Q9" s="86" t="n">
        <f aca="false">-'Project Cash Flows'!Q11</f>
        <v>-0</v>
      </c>
      <c r="R9" s="86" t="n">
        <f aca="false">-'Project Cash Flows'!R11</f>
        <v>-0</v>
      </c>
      <c r="S9" s="86" t="n">
        <f aca="false">-'Project Cash Flows'!S11</f>
        <v>-0</v>
      </c>
      <c r="T9" s="86" t="n">
        <f aca="false">-'Project Cash Flows'!T11</f>
        <v>-0</v>
      </c>
      <c r="U9" s="86" t="n">
        <f aca="false">-'Project Cash Flows'!U11</f>
        <v>-0</v>
      </c>
      <c r="V9" s="86" t="n">
        <f aca="false">-'Project Cash Flows'!V11</f>
        <v>-0</v>
      </c>
      <c r="W9" s="86" t="n">
        <f aca="false">-'Project Cash Flows'!W11</f>
        <v>-0</v>
      </c>
      <c r="X9" s="86" t="n">
        <f aca="false">-'Project Cash Flows'!X11</f>
        <v>-0</v>
      </c>
      <c r="Y9" s="86" t="n">
        <f aca="false">-'Project Cash Flows'!Y11</f>
        <v>-0</v>
      </c>
    </row>
    <row r="10" customFormat="false" ht="15" hidden="false" customHeight="true" outlineLevel="0" collapsed="false">
      <c r="A10" s="11" t="s">
        <v>232</v>
      </c>
      <c r="C10" s="86" t="n">
        <f aca="false">-'Income Statement'!C4*Assumptions!$B$18</f>
        <v>-1.11403</v>
      </c>
      <c r="D10" s="86" t="n">
        <f aca="false">-'Income Statement'!D4*Assumptions!$B$18</f>
        <v>-1.339025</v>
      </c>
      <c r="E10" s="86" t="n">
        <f aca="false">-'Income Statement'!E4*Assumptions!$B$18</f>
        <v>-1.59551</v>
      </c>
      <c r="F10" s="86" t="n">
        <f aca="false">-'Income Statement'!F4*Assumptions!$B$18</f>
        <v>-1.88792</v>
      </c>
      <c r="G10" s="86" t="n">
        <f aca="false">-'Income Statement'!G4*Assumptions!$B$18</f>
        <v>-2.22127</v>
      </c>
      <c r="H10" s="86" t="n">
        <f aca="false">-'Income Statement'!H4*Assumptions!$B$18</f>
        <v>-2.55786</v>
      </c>
      <c r="I10" s="86" t="n">
        <f aca="false">-'Income Statement'!I4*Assumptions!$B$18</f>
        <v>-1.868045</v>
      </c>
      <c r="J10" s="86" t="n">
        <f aca="false">-'Income Statement'!J4*Assumptions!$B$18</f>
        <v>-1.915785</v>
      </c>
      <c r="K10" s="86" t="n">
        <f aca="false">-'Income Statement'!K4*Assumptions!$B$18</f>
        <v>-1.782475</v>
      </c>
      <c r="L10" s="86" t="n">
        <f aca="false">-'Income Statement'!L4*Assumptions!$B$18</f>
        <v>-1.546485</v>
      </c>
      <c r="M10" s="86" t="n">
        <f aca="false">-'Income Statement'!M4*Assumptions!$B$18</f>
        <v>-1.277455</v>
      </c>
      <c r="N10" s="86" t="n">
        <f aca="false">-'Income Statement'!N4*Assumptions!$B$18</f>
        <v>-1.066045</v>
      </c>
      <c r="O10" s="86" t="n">
        <f aca="false">-'Income Statement'!O4*Assumptions!$B$18</f>
        <v>-0.768165</v>
      </c>
      <c r="P10" s="86" t="n">
        <f aca="false">-'Income Statement'!P4*Assumptions!$B$18</f>
        <v>-0.58271</v>
      </c>
      <c r="Q10" s="86" t="n">
        <f aca="false">-'Income Statement'!Q4*Assumptions!$B$18</f>
        <v>-0.37128</v>
      </c>
      <c r="R10" s="86" t="n">
        <f aca="false">-'Income Statement'!R4*Assumptions!$B$18</f>
        <v>-0.292155</v>
      </c>
      <c r="S10" s="86" t="n">
        <f aca="false">-'Income Statement'!S4*Assumptions!$B$18</f>
        <v>-0.20196</v>
      </c>
      <c r="T10" s="86" t="n">
        <f aca="false">-'Income Statement'!T4*Assumptions!$B$18</f>
        <v>-0.183135</v>
      </c>
      <c r="U10" s="86" t="n">
        <f aca="false">-'Income Statement'!U4*Assumptions!$B$18</f>
        <v>-0.16168</v>
      </c>
      <c r="V10" s="86" t="n">
        <f aca="false">-'Income Statement'!V4*Assumptions!$B$18</f>
        <v>-0.13722</v>
      </c>
      <c r="W10" s="86" t="n">
        <f aca="false">-'Income Statement'!W4*Assumptions!$B$18</f>
        <v>-0.109335</v>
      </c>
      <c r="X10" s="86" t="n">
        <f aca="false">-'Income Statement'!X4*Assumptions!$B$18</f>
        <v>-0.07755</v>
      </c>
      <c r="Y10" s="86" t="n">
        <f aca="false">-'Income Statement'!Y4*Assumptions!$B$18</f>
        <v>-0.04131</v>
      </c>
    </row>
    <row r="11" customFormat="false" ht="15" hidden="false" customHeight="true" outlineLevel="0" collapsed="false">
      <c r="A11" s="11" t="s">
        <v>258</v>
      </c>
      <c r="C11" s="86" t="n">
        <f aca="false">-'Income Statement'!C4*Assumptions!$B$19</f>
        <v>-0.111403</v>
      </c>
      <c r="D11" s="86" t="n">
        <f aca="false">-'Income Statement'!D4*Assumptions!$B$19</f>
        <v>-0.1339025</v>
      </c>
      <c r="E11" s="86" t="n">
        <f aca="false">-'Income Statement'!E4*Assumptions!$B$19</f>
        <v>-0.159551</v>
      </c>
      <c r="F11" s="86" t="n">
        <f aca="false">-'Income Statement'!F4*Assumptions!$B$19</f>
        <v>-0.188792</v>
      </c>
      <c r="G11" s="86" t="n">
        <f aca="false">-'Income Statement'!G4*Assumptions!$B$19</f>
        <v>-0.222127</v>
      </c>
      <c r="H11" s="86" t="n">
        <f aca="false">-'Income Statement'!H4*Assumptions!$B$19</f>
        <v>-0.255786</v>
      </c>
      <c r="I11" s="86" t="n">
        <f aca="false">-'Income Statement'!I4*Assumptions!$B$19</f>
        <v>-0.1868045</v>
      </c>
      <c r="J11" s="86" t="n">
        <f aca="false">-'Income Statement'!J4*Assumptions!$B$19</f>
        <v>-0.1915785</v>
      </c>
      <c r="K11" s="86" t="n">
        <f aca="false">-'Income Statement'!K4*Assumptions!$B$19</f>
        <v>-0.1782475</v>
      </c>
      <c r="L11" s="86" t="n">
        <f aca="false">-'Income Statement'!L4*Assumptions!$B$19</f>
        <v>-0.1546485</v>
      </c>
      <c r="M11" s="86" t="n">
        <f aca="false">-'Income Statement'!M4*Assumptions!$B$19</f>
        <v>-0.1277455</v>
      </c>
      <c r="N11" s="86" t="n">
        <f aca="false">-'Income Statement'!N4*Assumptions!$B$19</f>
        <v>-0.1066045</v>
      </c>
      <c r="O11" s="86" t="n">
        <f aca="false">-'Income Statement'!O4*Assumptions!$B$19</f>
        <v>-0.0768165</v>
      </c>
      <c r="P11" s="86" t="n">
        <f aca="false">-'Income Statement'!P4*Assumptions!$B$19</f>
        <v>-0.058271</v>
      </c>
      <c r="Q11" s="86" t="n">
        <f aca="false">-'Income Statement'!Q4*Assumptions!$B$19</f>
        <v>-0.037128</v>
      </c>
      <c r="R11" s="86" t="n">
        <f aca="false">-'Income Statement'!R4*Assumptions!$B$19</f>
        <v>-0.0292155</v>
      </c>
      <c r="S11" s="86" t="n">
        <f aca="false">-'Income Statement'!S4*Assumptions!$B$19</f>
        <v>-0.020196</v>
      </c>
      <c r="T11" s="86" t="n">
        <f aca="false">-'Income Statement'!T4*Assumptions!$B$19</f>
        <v>-0.0183135</v>
      </c>
      <c r="U11" s="86" t="n">
        <f aca="false">-'Income Statement'!U4*Assumptions!$B$19</f>
        <v>-0.016168</v>
      </c>
      <c r="V11" s="86" t="n">
        <f aca="false">-'Income Statement'!V4*Assumptions!$B$19</f>
        <v>-0.013722</v>
      </c>
      <c r="W11" s="86" t="n">
        <f aca="false">-'Income Statement'!W4*Assumptions!$B$19</f>
        <v>-0.0109335</v>
      </c>
      <c r="X11" s="86" t="n">
        <f aca="false">-'Income Statement'!X4*Assumptions!$B$19</f>
        <v>-0.007755</v>
      </c>
      <c r="Y11" s="86" t="n">
        <f aca="false">-'Income Statement'!Y4*Assumptions!$B$19</f>
        <v>-0.004131</v>
      </c>
    </row>
    <row r="12" customFormat="false" ht="15" hidden="false" customHeight="true" outlineLevel="0" collapsed="false">
      <c r="A12" s="11" t="s">
        <v>259</v>
      </c>
      <c r="C12" s="86" t="n">
        <f aca="false">'Income Statement'!C17</f>
        <v>-0.939817575</v>
      </c>
      <c r="D12" s="86" t="n">
        <f aca="false">'Income Statement'!D17</f>
        <v>-1.4635513125</v>
      </c>
      <c r="E12" s="86" t="n">
        <f aca="false">'Income Statement'!E17</f>
        <v>-1.700423775</v>
      </c>
      <c r="F12" s="86" t="n">
        <f aca="false">'Income Statement'!F17</f>
        <v>-1.9705473</v>
      </c>
      <c r="G12" s="86" t="n">
        <f aca="false">'Income Statement'!G17</f>
        <v>-2.278463175</v>
      </c>
      <c r="H12" s="86" t="n">
        <f aca="false">'Income Statement'!H17</f>
        <v>-2.57079465</v>
      </c>
      <c r="I12" s="86" t="n">
        <f aca="false">'Income Statement'!I17</f>
        <v>-1.3939988625</v>
      </c>
      <c r="J12" s="86" t="n">
        <f aca="false">'Income Statement'!J17</f>
        <v>-1.6071832125</v>
      </c>
      <c r="K12" s="86" t="n">
        <f aca="false">'Income Statement'!K17</f>
        <v>-1.6901274375</v>
      </c>
      <c r="L12" s="86" t="n">
        <f aca="false">'Income Statement'!L17</f>
        <v>-1.5247724625</v>
      </c>
      <c r="M12" s="86" t="n">
        <f aca="false">'Income Statement'!M17</f>
        <v>-1.1548573875</v>
      </c>
      <c r="N12" s="86" t="n">
        <f aca="false">'Income Statement'!N17</f>
        <v>-0.861671362500001</v>
      </c>
      <c r="O12" s="86" t="n">
        <f aca="false">'Income Statement'!O17</f>
        <v>-0.6985166625</v>
      </c>
      <c r="P12" s="86" t="n">
        <f aca="false">'Income Statement'!P17</f>
        <v>-0.499099275</v>
      </c>
      <c r="Q12" s="86" t="n">
        <f aca="false">'Income Statement'!Q17</f>
        <v>-0.2717307</v>
      </c>
      <c r="R12" s="86" t="n">
        <f aca="false">'Income Statement'!R17</f>
        <v>-0.1985691375</v>
      </c>
      <c r="S12" s="86" t="n">
        <f aca="false">'Income Statement'!S17</f>
        <v>-0.1152324</v>
      </c>
      <c r="T12" s="86" t="n">
        <f aca="false">'Income Statement'!T17</f>
        <v>-0.1044790875</v>
      </c>
      <c r="U12" s="86" t="n">
        <f aca="false">'Income Statement'!U17</f>
        <v>-0.0922392</v>
      </c>
      <c r="V12" s="86" t="n">
        <f aca="false">'Income Statement'!V17</f>
        <v>-0.0782905500000001</v>
      </c>
      <c r="W12" s="86" t="n">
        <f aca="false">'Income Statement'!W17</f>
        <v>-0.0623770875</v>
      </c>
      <c r="X12" s="86" t="n">
        <f aca="false">'Income Statement'!X17</f>
        <v>-0.044256375</v>
      </c>
      <c r="Y12" s="86" t="n">
        <f aca="false">'Income Statement'!Y17</f>
        <v>-0.023570775</v>
      </c>
    </row>
    <row r="13" customFormat="false" ht="15" hidden="false" customHeight="true" outlineLevel="0" collapsed="false">
      <c r="A13" s="11" t="s">
        <v>260</v>
      </c>
      <c r="C13" s="19" t="n">
        <f aca="false">-C5</f>
        <v>-1.404</v>
      </c>
      <c r="D13" s="19" t="n">
        <f aca="false">-D5</f>
        <v>-0</v>
      </c>
      <c r="E13" s="19" t="n">
        <f aca="false">-E5</f>
        <v>-0</v>
      </c>
      <c r="F13" s="19" t="n">
        <f aca="false">-F5</f>
        <v>-0</v>
      </c>
      <c r="G13" s="19" t="n">
        <f aca="false">-G5</f>
        <v>-0</v>
      </c>
      <c r="H13" s="19" t="n">
        <f aca="false">-H5</f>
        <v>-0</v>
      </c>
      <c r="I13" s="19" t="n">
        <f aca="false">-I5</f>
        <v>-0</v>
      </c>
      <c r="J13" s="19" t="n">
        <f aca="false">-J5</f>
        <v>-0</v>
      </c>
      <c r="K13" s="19" t="n">
        <f aca="false">-K5</f>
        <v>-0</v>
      </c>
      <c r="L13" s="19" t="n">
        <f aca="false">-L5</f>
        <v>-0</v>
      </c>
      <c r="M13" s="19" t="n">
        <f aca="false">-M5</f>
        <v>-0</v>
      </c>
      <c r="N13" s="19" t="n">
        <f aca="false">-N5</f>
        <v>-0</v>
      </c>
      <c r="O13" s="19" t="n">
        <f aca="false">-O5</f>
        <v>-0</v>
      </c>
      <c r="P13" s="19" t="n">
        <f aca="false">-P5</f>
        <v>-0</v>
      </c>
      <c r="Q13" s="19" t="n">
        <f aca="false">-Q5</f>
        <v>-0</v>
      </c>
      <c r="R13" s="19" t="n">
        <f aca="false">-R5</f>
        <v>-0</v>
      </c>
      <c r="S13" s="19" t="n">
        <f aca="false">-S5</f>
        <v>-0</v>
      </c>
      <c r="T13" s="19" t="n">
        <f aca="false">-T5</f>
        <v>-0</v>
      </c>
      <c r="U13" s="19" t="n">
        <f aca="false">-U5</f>
        <v>-0</v>
      </c>
      <c r="V13" s="19" t="n">
        <f aca="false">-V5</f>
        <v>-0</v>
      </c>
      <c r="W13" s="19" t="n">
        <f aca="false">-W5</f>
        <v>-0</v>
      </c>
      <c r="X13" s="19" t="n">
        <f aca="false">-X5</f>
        <v>-0</v>
      </c>
      <c r="Y13" s="19" t="n">
        <f aca="false">-Y5</f>
        <v>-0</v>
      </c>
    </row>
    <row r="14" customFormat="false" ht="15" hidden="false" customHeight="true" outlineLevel="0" collapsed="false">
      <c r="A14" s="77" t="s">
        <v>261</v>
      </c>
      <c r="C14" s="79" t="n">
        <f aca="false">SUM(C6:C13)</f>
        <v>3.787749425</v>
      </c>
      <c r="D14" s="79" t="n">
        <f aca="false">SUM(D6:D13)</f>
        <v>6.5882211875</v>
      </c>
      <c r="E14" s="79" t="n">
        <f aca="false">SUM(E6:E13)</f>
        <v>8.540215225</v>
      </c>
      <c r="F14" s="79" t="n">
        <f aca="false">SUM(F6:F13)</f>
        <v>10.7656407</v>
      </c>
      <c r="G14" s="79" t="n">
        <f aca="false">SUM(G6:G13)</f>
        <v>13.302239825</v>
      </c>
      <c r="H14" s="79" t="n">
        <f aca="false">SUM(H6:H13)</f>
        <v>16.41795935</v>
      </c>
      <c r="I14" s="79" t="n">
        <f aca="false">SUM(I6:I13)</f>
        <v>15.4404516375</v>
      </c>
      <c r="J14" s="79" t="n">
        <f aca="false">SUM(J6:J13)</f>
        <v>19.9037532875</v>
      </c>
      <c r="K14" s="79" t="n">
        <f aca="false">SUM(K6:K13)</f>
        <v>23.8558500625</v>
      </c>
      <c r="L14" s="79" t="n">
        <f aca="false">SUM(L6:L13)</f>
        <v>23.6211940375</v>
      </c>
      <c r="M14" s="79" t="n">
        <f aca="false">SUM(M6:M13)</f>
        <v>22.5607421125</v>
      </c>
      <c r="N14" s="79" t="n">
        <f aca="false">SUM(N6:N13)</f>
        <v>20.8611791375</v>
      </c>
      <c r="O14" s="79" t="n">
        <f aca="false">SUM(O6:O13)</f>
        <v>19.1515018375</v>
      </c>
      <c r="P14" s="79" t="n">
        <f aca="false">SUM(P6:P13)</f>
        <v>15.375319725</v>
      </c>
      <c r="Q14" s="79" t="n">
        <f aca="false">SUM(Q6:Q13)</f>
        <v>11.0705613</v>
      </c>
      <c r="R14" s="79" t="n">
        <f aca="false">SUM(R6:R13)</f>
        <v>6.1850603625</v>
      </c>
      <c r="S14" s="79" t="n">
        <f aca="false">SUM(S6:S13)</f>
        <v>2.6965116</v>
      </c>
      <c r="T14" s="79" t="n">
        <f aca="false">SUM(T6:T13)</f>
        <v>0.8348724125</v>
      </c>
      <c r="U14" s="79" t="n">
        <f aca="false">SUM(U6:U13)</f>
        <v>0.2246128</v>
      </c>
      <c r="V14" s="79" t="n">
        <f aca="false">SUM(V6:V13)</f>
        <v>-0.47103255</v>
      </c>
      <c r="W14" s="79" t="n">
        <f aca="false">SUM(W6:W13)</f>
        <v>-1.2640455875</v>
      </c>
      <c r="X14" s="79" t="n">
        <f aca="false">SUM(X6:X13)</f>
        <v>-0.896561375</v>
      </c>
      <c r="Y14" s="79" t="n">
        <f aca="false">SUM(Y6:Y13)</f>
        <v>-0.477611775</v>
      </c>
    </row>
    <row r="15" customFormat="false" ht="15" hidden="false" customHeight="true" outlineLevel="0" collapsed="false">
      <c r="A15" s="11" t="s">
        <v>262</v>
      </c>
      <c r="C15" s="19" t="n">
        <f aca="false">Assumptions!$B$7</f>
        <v>42.6</v>
      </c>
      <c r="D15" s="19" t="n">
        <f aca="false">C19</f>
        <v>38.587749425</v>
      </c>
      <c r="E15" s="19" t="n">
        <f aca="false">D19</f>
        <v>45.1759706125</v>
      </c>
      <c r="F15" s="19" t="n">
        <f aca="false">E19</f>
        <v>53.7161858375</v>
      </c>
      <c r="G15" s="19" t="n">
        <f aca="false">F19</f>
        <v>64.4818265375</v>
      </c>
      <c r="H15" s="19" t="n">
        <f aca="false">G19</f>
        <v>77.7840663625</v>
      </c>
      <c r="I15" s="19" t="n">
        <f aca="false">H19</f>
        <v>94.2020257125</v>
      </c>
      <c r="J15" s="19" t="n">
        <f aca="false">I19</f>
        <v>109.64247735</v>
      </c>
      <c r="K15" s="19" t="n">
        <f aca="false">J19</f>
        <v>129.5462306375</v>
      </c>
      <c r="L15" s="19" t="n">
        <f aca="false">K19</f>
        <v>153.4020807</v>
      </c>
      <c r="M15" s="19" t="n">
        <f aca="false">L19</f>
        <v>177.0232747375</v>
      </c>
      <c r="N15" s="19" t="n">
        <f aca="false">M19</f>
        <v>199.58401685</v>
      </c>
      <c r="O15" s="19" t="n">
        <f aca="false">N19</f>
        <v>220.4451959875</v>
      </c>
      <c r="P15" s="19" t="n">
        <f aca="false">O19</f>
        <v>239.596697825</v>
      </c>
      <c r="Q15" s="19" t="n">
        <f aca="false">P19</f>
        <v>254.97201755</v>
      </c>
      <c r="R15" s="19" t="n">
        <f aca="false">Q19</f>
        <v>266.04257885</v>
      </c>
      <c r="S15" s="19" t="n">
        <f aca="false">R19</f>
        <v>272.2276392125</v>
      </c>
      <c r="T15" s="19" t="n">
        <f aca="false">S19</f>
        <v>274.9241508125</v>
      </c>
      <c r="U15" s="19" t="n">
        <f aca="false">T19</f>
        <v>275.759023225</v>
      </c>
      <c r="V15" s="19" t="n">
        <f aca="false">U19</f>
        <v>275.983636025</v>
      </c>
      <c r="W15" s="19" t="n">
        <f aca="false">V19</f>
        <v>275.512603475</v>
      </c>
      <c r="X15" s="19" t="n">
        <f aca="false">W19</f>
        <v>274.2485578875</v>
      </c>
      <c r="Y15" s="19" t="n">
        <f aca="false">X19</f>
        <v>273.3519965125</v>
      </c>
    </row>
    <row r="16" customFormat="false" ht="15" hidden="false" customHeight="true" outlineLevel="0" collapsed="false">
      <c r="A16" s="11" t="s">
        <v>263</v>
      </c>
      <c r="C16" s="19" t="n">
        <f aca="false">C15+C14</f>
        <v>46.387749425</v>
      </c>
      <c r="D16" s="19" t="n">
        <f aca="false">D15+D14</f>
        <v>45.1759706125</v>
      </c>
      <c r="E16" s="19" t="n">
        <f aca="false">E15+E14</f>
        <v>53.7161858375</v>
      </c>
      <c r="F16" s="19" t="n">
        <f aca="false">F15+F14</f>
        <v>64.4818265375</v>
      </c>
      <c r="G16" s="19" t="n">
        <f aca="false">G15+G14</f>
        <v>77.7840663625</v>
      </c>
      <c r="H16" s="19" t="n">
        <f aca="false">H15+H14</f>
        <v>94.2020257125</v>
      </c>
      <c r="I16" s="19" t="n">
        <f aca="false">I15+I14</f>
        <v>109.64247735</v>
      </c>
      <c r="J16" s="19" t="n">
        <f aca="false">J15+J14</f>
        <v>129.5462306375</v>
      </c>
      <c r="K16" s="19" t="n">
        <f aca="false">K15+K14</f>
        <v>153.4020807</v>
      </c>
      <c r="L16" s="19" t="n">
        <f aca="false">L15+L14</f>
        <v>177.0232747375</v>
      </c>
      <c r="M16" s="19" t="n">
        <f aca="false">M15+M14</f>
        <v>199.58401685</v>
      </c>
      <c r="N16" s="19" t="n">
        <f aca="false">N15+N14</f>
        <v>220.4451959875</v>
      </c>
      <c r="O16" s="19" t="n">
        <f aca="false">O15+O14</f>
        <v>239.596697825</v>
      </c>
      <c r="P16" s="19" t="n">
        <f aca="false">P15+P14</f>
        <v>254.97201755</v>
      </c>
      <c r="Q16" s="19" t="n">
        <f aca="false">Q15+Q14</f>
        <v>266.04257885</v>
      </c>
      <c r="R16" s="19" t="n">
        <f aca="false">R15+R14</f>
        <v>272.2276392125</v>
      </c>
      <c r="S16" s="19" t="n">
        <f aca="false">S15+S14</f>
        <v>274.9241508125</v>
      </c>
      <c r="T16" s="19" t="n">
        <f aca="false">T15+T14</f>
        <v>275.759023225</v>
      </c>
      <c r="U16" s="19" t="n">
        <f aca="false">U15+U14</f>
        <v>275.983636025</v>
      </c>
      <c r="V16" s="19" t="n">
        <f aca="false">V15+V14</f>
        <v>275.512603475</v>
      </c>
      <c r="W16" s="19" t="n">
        <f aca="false">W15+W14</f>
        <v>274.2485578875</v>
      </c>
      <c r="X16" s="19" t="n">
        <f aca="false">X15+X14</f>
        <v>273.3519965125</v>
      </c>
      <c r="Y16" s="19" t="n">
        <f aca="false">Y15+Y14</f>
        <v>272.8743847375</v>
      </c>
    </row>
    <row r="17" customFormat="false" ht="15" hidden="false" customHeight="true" outlineLevel="0" collapsed="false">
      <c r="A17" s="11" t="s">
        <v>264</v>
      </c>
      <c r="C17" s="19" t="n">
        <f aca="false">IF(C16&lt;Assumptions!$B$20,Assumptions!$B$20-C16,-MIN(C4,C16-Assumptions!$B$20))</f>
        <v>-7.8</v>
      </c>
      <c r="D17" s="19" t="n">
        <f aca="false">IF(D16&lt;Assumptions!$B$20,Assumptions!$B$20-D16,-MIN(D4,D16-Assumptions!$B$20))</f>
        <v>-0</v>
      </c>
      <c r="E17" s="19" t="n">
        <f aca="false">IF(E16&lt;Assumptions!$B$20,Assumptions!$B$20-E16,-MIN(E4,E16-Assumptions!$B$20))</f>
        <v>-0</v>
      </c>
      <c r="F17" s="19" t="n">
        <f aca="false">IF(F16&lt;Assumptions!$B$20,Assumptions!$B$20-F16,-MIN(F4,F16-Assumptions!$B$20))</f>
        <v>-0</v>
      </c>
      <c r="G17" s="19" t="n">
        <f aca="false">IF(G16&lt;Assumptions!$B$20,Assumptions!$B$20-G16,-MIN(G4,G16-Assumptions!$B$20))</f>
        <v>-0</v>
      </c>
      <c r="H17" s="19" t="n">
        <f aca="false">IF(H16&lt;Assumptions!$B$20,Assumptions!$B$20-H16,-MIN(H4,H16-Assumptions!$B$20))</f>
        <v>-0</v>
      </c>
      <c r="I17" s="19" t="n">
        <f aca="false">IF(I16&lt;Assumptions!$B$20,Assumptions!$B$20-I16,-MIN(I4,I16-Assumptions!$B$20))</f>
        <v>-0</v>
      </c>
      <c r="J17" s="19" t="n">
        <f aca="false">IF(J16&lt;Assumptions!$B$20,Assumptions!$B$20-J16,-MIN(J4,J16-Assumptions!$B$20))</f>
        <v>-0</v>
      </c>
      <c r="K17" s="19" t="n">
        <f aca="false">IF(K16&lt;Assumptions!$B$20,Assumptions!$B$20-K16,-MIN(K4,K16-Assumptions!$B$20))</f>
        <v>-0</v>
      </c>
      <c r="L17" s="19" t="n">
        <f aca="false">IF(L16&lt;Assumptions!$B$20,Assumptions!$B$20-L16,-MIN(L4,L16-Assumptions!$B$20))</f>
        <v>-0</v>
      </c>
      <c r="M17" s="19" t="n">
        <f aca="false">IF(M16&lt;Assumptions!$B$20,Assumptions!$B$20-M16,-MIN(M4,M16-Assumptions!$B$20))</f>
        <v>-0</v>
      </c>
      <c r="N17" s="19" t="n">
        <f aca="false">IF(N16&lt;Assumptions!$B$20,Assumptions!$B$20-N16,-MIN(N4,N16-Assumptions!$B$20))</f>
        <v>-0</v>
      </c>
      <c r="O17" s="19" t="n">
        <f aca="false">IF(O16&lt;Assumptions!$B$20,Assumptions!$B$20-O16,-MIN(O4,O16-Assumptions!$B$20))</f>
        <v>-0</v>
      </c>
      <c r="P17" s="19" t="n">
        <f aca="false">IF(P16&lt;Assumptions!$B$20,Assumptions!$B$20-P16,-MIN(P4,P16-Assumptions!$B$20))</f>
        <v>-0</v>
      </c>
      <c r="Q17" s="19" t="n">
        <f aca="false">IF(Q16&lt;Assumptions!$B$20,Assumptions!$B$20-Q16,-MIN(Q4,Q16-Assumptions!$B$20))</f>
        <v>-0</v>
      </c>
      <c r="R17" s="19" t="n">
        <f aca="false">IF(R16&lt;Assumptions!$B$20,Assumptions!$B$20-R16,-MIN(R4,R16-Assumptions!$B$20))</f>
        <v>-0</v>
      </c>
      <c r="S17" s="19" t="n">
        <f aca="false">IF(S16&lt;Assumptions!$B$20,Assumptions!$B$20-S16,-MIN(S4,S16-Assumptions!$B$20))</f>
        <v>-0</v>
      </c>
      <c r="T17" s="19" t="n">
        <f aca="false">IF(T16&lt;Assumptions!$B$20,Assumptions!$B$20-T16,-MIN(T4,T16-Assumptions!$B$20))</f>
        <v>-0</v>
      </c>
      <c r="U17" s="19" t="n">
        <f aca="false">IF(U16&lt;Assumptions!$B$20,Assumptions!$B$20-U16,-MIN(U4,U16-Assumptions!$B$20))</f>
        <v>-0</v>
      </c>
      <c r="V17" s="19" t="n">
        <f aca="false">IF(V16&lt;Assumptions!$B$20,Assumptions!$B$20-V16,-MIN(V4,V16-Assumptions!$B$20))</f>
        <v>-0</v>
      </c>
      <c r="W17" s="19" t="n">
        <f aca="false">IF(W16&lt;Assumptions!$B$20,Assumptions!$B$20-W16,-MIN(W4,W16-Assumptions!$B$20))</f>
        <v>-0</v>
      </c>
      <c r="X17" s="19" t="n">
        <f aca="false">IF(X16&lt;Assumptions!$B$20,Assumptions!$B$20-X16,-MIN(X4,X16-Assumptions!$B$20))</f>
        <v>-0</v>
      </c>
      <c r="Y17" s="19" t="n">
        <f aca="false">IF(Y16&lt;Assumptions!$B$20,Assumptions!$B$20-Y16,-MIN(Y4,Y16-Assumptions!$B$20))</f>
        <v>-0</v>
      </c>
    </row>
    <row r="18" customFormat="false" ht="15" hidden="false" customHeight="true" outlineLevel="0" collapsed="false">
      <c r="A18" s="77" t="s">
        <v>265</v>
      </c>
      <c r="C18" s="79" t="n">
        <f aca="false">C4+C17</f>
        <v>0</v>
      </c>
      <c r="D18" s="79" t="n">
        <f aca="false">D4+D17</f>
        <v>0</v>
      </c>
      <c r="E18" s="79" t="n">
        <f aca="false">E4+E17</f>
        <v>0</v>
      </c>
      <c r="F18" s="79" t="n">
        <f aca="false">F4+F17</f>
        <v>0</v>
      </c>
      <c r="G18" s="79" t="n">
        <f aca="false">G4+G17</f>
        <v>0</v>
      </c>
      <c r="H18" s="79" t="n">
        <f aca="false">H4+H17</f>
        <v>0</v>
      </c>
      <c r="I18" s="79" t="n">
        <f aca="false">I4+I17</f>
        <v>0</v>
      </c>
      <c r="J18" s="79" t="n">
        <f aca="false">J4+J17</f>
        <v>0</v>
      </c>
      <c r="K18" s="79" t="n">
        <f aca="false">K4+K17</f>
        <v>0</v>
      </c>
      <c r="L18" s="79" t="n">
        <f aca="false">L4+L17</f>
        <v>0</v>
      </c>
      <c r="M18" s="79" t="n">
        <f aca="false">M4+M17</f>
        <v>0</v>
      </c>
      <c r="N18" s="79" t="n">
        <f aca="false">N4+N17</f>
        <v>0</v>
      </c>
      <c r="O18" s="79" t="n">
        <f aca="false">O4+O17</f>
        <v>0</v>
      </c>
      <c r="P18" s="79" t="n">
        <f aca="false">P4+P17</f>
        <v>0</v>
      </c>
      <c r="Q18" s="79" t="n">
        <f aca="false">Q4+Q17</f>
        <v>0</v>
      </c>
      <c r="R18" s="79" t="n">
        <f aca="false">R4+R17</f>
        <v>0</v>
      </c>
      <c r="S18" s="79" t="n">
        <f aca="false">S4+S17</f>
        <v>0</v>
      </c>
      <c r="T18" s="79" t="n">
        <f aca="false">T4+T17</f>
        <v>0</v>
      </c>
      <c r="U18" s="79" t="n">
        <f aca="false">U4+U17</f>
        <v>0</v>
      </c>
      <c r="V18" s="79" t="n">
        <f aca="false">V4+V17</f>
        <v>0</v>
      </c>
      <c r="W18" s="79" t="n">
        <f aca="false">W4+W17</f>
        <v>0</v>
      </c>
      <c r="X18" s="79" t="n">
        <f aca="false">X4+X17</f>
        <v>0</v>
      </c>
      <c r="Y18" s="79" t="n">
        <f aca="false">Y4+Y17</f>
        <v>0</v>
      </c>
    </row>
    <row r="19" customFormat="false" ht="15" hidden="false" customHeight="true" outlineLevel="0" collapsed="false">
      <c r="A19" s="77" t="s">
        <v>266</v>
      </c>
      <c r="C19" s="79" t="n">
        <f aca="false">C16+C17</f>
        <v>38.587749425</v>
      </c>
      <c r="D19" s="79" t="n">
        <f aca="false">D16+D17</f>
        <v>45.1759706125</v>
      </c>
      <c r="E19" s="79" t="n">
        <f aca="false">E16+E17</f>
        <v>53.7161858375</v>
      </c>
      <c r="F19" s="79" t="n">
        <f aca="false">F16+F17</f>
        <v>64.4818265375</v>
      </c>
      <c r="G19" s="79" t="n">
        <f aca="false">G16+G17</f>
        <v>77.7840663625</v>
      </c>
      <c r="H19" s="79" t="n">
        <f aca="false">H16+H17</f>
        <v>94.2020257125</v>
      </c>
      <c r="I19" s="79" t="n">
        <f aca="false">I16+I17</f>
        <v>109.64247735</v>
      </c>
      <c r="J19" s="79" t="n">
        <f aca="false">J16+J17</f>
        <v>129.5462306375</v>
      </c>
      <c r="K19" s="79" t="n">
        <f aca="false">K16+K17</f>
        <v>153.4020807</v>
      </c>
      <c r="L19" s="79" t="n">
        <f aca="false">L16+L17</f>
        <v>177.0232747375</v>
      </c>
      <c r="M19" s="79" t="n">
        <f aca="false">M16+M17</f>
        <v>199.58401685</v>
      </c>
      <c r="N19" s="79" t="n">
        <f aca="false">N16+N17</f>
        <v>220.4451959875</v>
      </c>
      <c r="O19" s="79" t="n">
        <f aca="false">O16+O17</f>
        <v>239.596697825</v>
      </c>
      <c r="P19" s="79" t="n">
        <f aca="false">P16+P17</f>
        <v>254.97201755</v>
      </c>
      <c r="Q19" s="79" t="n">
        <f aca="false">Q16+Q17</f>
        <v>266.04257885</v>
      </c>
      <c r="R19" s="79" t="n">
        <f aca="false">R16+R17</f>
        <v>272.2276392125</v>
      </c>
      <c r="S19" s="79" t="n">
        <f aca="false">S16+S17</f>
        <v>274.9241508125</v>
      </c>
      <c r="T19" s="79" t="n">
        <f aca="false">T16+T17</f>
        <v>275.759023225</v>
      </c>
      <c r="U19" s="79" t="n">
        <f aca="false">U16+U17</f>
        <v>275.983636025</v>
      </c>
      <c r="V19" s="79" t="n">
        <f aca="false">V16+V17</f>
        <v>275.512603475</v>
      </c>
      <c r="W19" s="79" t="n">
        <f aca="false">W16+W17</f>
        <v>274.2485578875</v>
      </c>
      <c r="X19" s="79" t="n">
        <f aca="false">X16+X17</f>
        <v>273.3519965125</v>
      </c>
      <c r="Y19" s="79" t="n">
        <f aca="false">Y16+Y17</f>
        <v>272.8743847375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5" min="3" style="1" width="9"/>
  </cols>
  <sheetData>
    <row r="1" customFormat="false" ht="15.75" hidden="false" customHeight="true" outlineLevel="0" collapsed="false">
      <c r="A1" s="7" t="s">
        <v>267</v>
      </c>
      <c r="B1" s="8"/>
      <c r="C1" s="8"/>
      <c r="D1" s="8"/>
      <c r="E1" s="8"/>
      <c r="F1" s="8"/>
      <c r="G1" s="8"/>
      <c r="H1" s="8"/>
      <c r="I1" s="8"/>
      <c r="J1" s="8"/>
      <c r="K1" s="8"/>
      <c r="L1" s="8"/>
      <c r="M1" s="8"/>
      <c r="N1" s="8"/>
      <c r="O1" s="8"/>
      <c r="P1" s="8"/>
      <c r="Q1" s="8"/>
      <c r="R1" s="8"/>
      <c r="S1" s="8"/>
      <c r="T1" s="8"/>
      <c r="U1" s="8"/>
      <c r="V1" s="8"/>
      <c r="W1" s="8"/>
      <c r="X1" s="8"/>
      <c r="Y1" s="8"/>
    </row>
    <row r="2" customFormat="false" ht="15" hidden="false" customHeight="true" outlineLevel="0" collapsed="false">
      <c r="A2" s="87" t="s">
        <v>268</v>
      </c>
      <c r="B2" s="8"/>
      <c r="C2" s="8"/>
      <c r="D2" s="8"/>
      <c r="E2" s="8"/>
      <c r="F2" s="8"/>
      <c r="G2" s="8"/>
      <c r="H2" s="8"/>
      <c r="I2" s="8"/>
      <c r="J2" s="8"/>
      <c r="K2" s="8"/>
      <c r="L2" s="8"/>
      <c r="M2" s="8"/>
      <c r="N2" s="8"/>
      <c r="O2" s="8"/>
      <c r="P2" s="8"/>
      <c r="Q2" s="8"/>
      <c r="R2" s="8"/>
      <c r="S2" s="8"/>
      <c r="T2" s="8"/>
      <c r="U2" s="8"/>
      <c r="V2" s="8"/>
      <c r="W2" s="8"/>
      <c r="X2" s="8"/>
      <c r="Y2" s="8"/>
    </row>
    <row r="3" customFormat="false" ht="15" hidden="false" customHeight="true" outlineLevel="0" collapsed="false">
      <c r="A3" s="51" t="s">
        <v>194</v>
      </c>
      <c r="C3" s="85" t="s">
        <v>206</v>
      </c>
      <c r="D3" s="85" t="s">
        <v>207</v>
      </c>
      <c r="E3" s="85" t="s">
        <v>208</v>
      </c>
      <c r="F3" s="85" t="s">
        <v>209</v>
      </c>
      <c r="G3" s="85" t="s">
        <v>210</v>
      </c>
      <c r="H3" s="85" t="s">
        <v>211</v>
      </c>
      <c r="I3" s="85" t="s">
        <v>212</v>
      </c>
      <c r="J3" s="85" t="s">
        <v>213</v>
      </c>
      <c r="K3" s="85" t="s">
        <v>214</v>
      </c>
      <c r="L3" s="85" t="s">
        <v>215</v>
      </c>
      <c r="M3" s="85" t="s">
        <v>216</v>
      </c>
      <c r="N3" s="85" t="s">
        <v>217</v>
      </c>
      <c r="O3" s="85" t="s">
        <v>218</v>
      </c>
      <c r="P3" s="85" t="s">
        <v>219</v>
      </c>
      <c r="Q3" s="85" t="s">
        <v>220</v>
      </c>
      <c r="R3" s="85" t="s">
        <v>221</v>
      </c>
      <c r="S3" s="85" t="s">
        <v>222</v>
      </c>
      <c r="T3" s="85" t="s">
        <v>223</v>
      </c>
      <c r="U3" s="85" t="s">
        <v>224</v>
      </c>
      <c r="V3" s="85" t="s">
        <v>225</v>
      </c>
      <c r="W3" s="85" t="s">
        <v>226</v>
      </c>
      <c r="X3" s="85" t="s">
        <v>227</v>
      </c>
      <c r="Y3" s="85" t="s">
        <v>228</v>
      </c>
    </row>
    <row r="4" customFormat="false" ht="15" hidden="false" customHeight="true" outlineLevel="0" collapsed="false">
      <c r="A4" s="11" t="s">
        <v>269</v>
      </c>
      <c r="C4" s="86" t="n">
        <f aca="false">'Debt Schedule'!C6</f>
        <v>14.5324</v>
      </c>
      <c r="D4" s="86" t="n">
        <f aca="false">'Debt Schedule'!D6</f>
        <v>17.8413</v>
      </c>
      <c r="E4" s="86" t="n">
        <f aca="false">'Debt Schedule'!E6</f>
        <v>21.6132</v>
      </c>
      <c r="F4" s="86" t="n">
        <f aca="false">'Debt Schedule'!F6</f>
        <v>25.9136</v>
      </c>
      <c r="G4" s="86" t="n">
        <f aca="false">'Debt Schedule'!G6</f>
        <v>30.8157</v>
      </c>
      <c r="H4" s="86" t="n">
        <f aca="false">'Debt Schedule'!H6</f>
        <v>36.4043</v>
      </c>
      <c r="I4" s="86" t="n">
        <f aca="false">'Debt Schedule'!I6</f>
        <v>29.9057</v>
      </c>
      <c r="J4" s="86" t="n">
        <f aca="false">'Debt Schedule'!J6</f>
        <v>34.1139</v>
      </c>
      <c r="K4" s="86" t="n">
        <f aca="false">'Debt Schedule'!K6</f>
        <v>36.4133</v>
      </c>
      <c r="L4" s="86" t="n">
        <f aca="false">'Debt Schedule'!L6</f>
        <v>34.4646</v>
      </c>
      <c r="M4" s="86" t="n">
        <f aca="false">'Debt Schedule'!M6</f>
        <v>32.075</v>
      </c>
      <c r="N4" s="86" t="n">
        <f aca="false">'Debt Schedule'!N6</f>
        <v>29.351</v>
      </c>
      <c r="O4" s="86" t="n">
        <f aca="false">'Debt Schedule'!O6</f>
        <v>25.1151</v>
      </c>
      <c r="P4" s="86" t="n">
        <f aca="false">'Debt Schedule'!P6</f>
        <v>20.1451</v>
      </c>
      <c r="Q4" s="86" t="n">
        <f aca="false">'Debt Schedule'!Q6</f>
        <v>14.4794</v>
      </c>
      <c r="R4" s="86" t="n">
        <f aca="false">'Debt Schedule'!R6</f>
        <v>9.0921</v>
      </c>
      <c r="S4" s="86" t="n">
        <f aca="false">'Debt Schedule'!S6</f>
        <v>5.0314</v>
      </c>
      <c r="T4" s="86" t="n">
        <f aca="false">'Debt Schedule'!T6</f>
        <v>2.9521</v>
      </c>
      <c r="U4" s="86" t="n">
        <f aca="false">'Debt Schedule'!U6</f>
        <v>2.0938</v>
      </c>
      <c r="V4" s="86" t="n">
        <f aca="false">'Debt Schedule'!V6</f>
        <v>1.1154</v>
      </c>
      <c r="W4" s="86" t="n">
        <f aca="false">'Debt Schedule'!W6</f>
        <v>0</v>
      </c>
      <c r="X4" s="86" t="n">
        <f aca="false">'Debt Schedule'!X6</f>
        <v>0</v>
      </c>
      <c r="Y4" s="86" t="n">
        <f aca="false">'Debt Schedule'!Y6</f>
        <v>0</v>
      </c>
    </row>
    <row r="5" customFormat="false" ht="15" hidden="false" customHeight="true" outlineLevel="0" collapsed="false">
      <c r="A5" s="11" t="s">
        <v>270</v>
      </c>
      <c r="C5" s="86" t="n">
        <f aca="false">'Debt Schedule'!C7</f>
        <v>-5.3614</v>
      </c>
      <c r="D5" s="86" t="n">
        <f aca="false">'Debt Schedule'!D7</f>
        <v>-6.2065</v>
      </c>
      <c r="E5" s="86" t="n">
        <f aca="false">'Debt Schedule'!E7</f>
        <v>-7.17</v>
      </c>
      <c r="F5" s="86" t="n">
        <f aca="false">'Debt Schedule'!F7</f>
        <v>-8.2683</v>
      </c>
      <c r="G5" s="86" t="n">
        <f aca="false">'Debt Schedule'!G7</f>
        <v>-9.5206</v>
      </c>
      <c r="H5" s="86" t="n">
        <f aca="false">'Debt Schedule'!H7</f>
        <v>-10.8307</v>
      </c>
      <c r="I5" s="86" t="n">
        <f aca="false">'Debt Schedule'!I7</f>
        <v>-7.1971</v>
      </c>
      <c r="J5" s="86" t="n">
        <f aca="false">'Debt Schedule'!J7</f>
        <v>-7.4557</v>
      </c>
      <c r="K5" s="86" t="n">
        <f aca="false">'Debt Schedule'!K7</f>
        <v>-6.9855</v>
      </c>
      <c r="L5" s="86" t="n">
        <f aca="false">'Debt Schedule'!L7</f>
        <v>-6.1918</v>
      </c>
      <c r="M5" s="86" t="n">
        <f aca="false">'Debt Schedule'!M7</f>
        <v>-5.2866</v>
      </c>
      <c r="N5" s="86" t="n">
        <f aca="false">'Debt Schedule'!N7</f>
        <v>-4.5123</v>
      </c>
      <c r="O5" s="86" t="n">
        <f aca="false">'Debt Schedule'!O7</f>
        <v>-3.3123</v>
      </c>
      <c r="P5" s="86" t="n">
        <f aca="false">'Debt Schedule'!P7</f>
        <v>-2.5699</v>
      </c>
      <c r="Q5" s="86" t="n">
        <f aca="false">'Debt Schedule'!Q7</f>
        <v>-1.7237</v>
      </c>
      <c r="R5" s="86" t="n">
        <f aca="false">'Debt Schedule'!R7</f>
        <v>-1.4446</v>
      </c>
      <c r="S5" s="86" t="n">
        <f aca="false">'Debt Schedule'!S7</f>
        <v>-1.1262</v>
      </c>
      <c r="T5" s="86" t="n">
        <f aca="false">'Debt Schedule'!T7</f>
        <v>-1.0212</v>
      </c>
      <c r="U5" s="86" t="n">
        <f aca="false">'Debt Schedule'!U7</f>
        <v>-0.9016</v>
      </c>
      <c r="V5" s="86" t="n">
        <f aca="false">'Debt Schedule'!V7</f>
        <v>-0.7652</v>
      </c>
      <c r="W5" s="86" t="n">
        <f aca="false">'Debt Schedule'!W7</f>
        <v>-0.6097</v>
      </c>
      <c r="X5" s="86" t="n">
        <f aca="false">'Debt Schedule'!X7</f>
        <v>-0.4324</v>
      </c>
      <c r="Y5" s="86" t="n">
        <f aca="false">'Debt Schedule'!Y7</f>
        <v>-0.2304</v>
      </c>
    </row>
    <row r="6" customFormat="false" ht="15" hidden="false" customHeight="true" outlineLevel="0" collapsed="false">
      <c r="A6" s="11" t="s">
        <v>271</v>
      </c>
      <c r="C6" s="86" t="n">
        <f aca="false">'Debt Schedule'!C8</f>
        <v>-0.0422</v>
      </c>
      <c r="D6" s="86" t="n">
        <f aca="false">'Debt Schedule'!D8</f>
        <v>-0.0902</v>
      </c>
      <c r="E6" s="86" t="n">
        <f aca="false">'Debt Schedule'!E8</f>
        <v>-0.145</v>
      </c>
      <c r="F6" s="86" t="n">
        <f aca="false">'Debt Schedule'!F8</f>
        <v>-0.2075</v>
      </c>
      <c r="G6" s="86" t="n">
        <f aca="false">'Debt Schedule'!G8</f>
        <v>-0.2787</v>
      </c>
      <c r="H6" s="86" t="n">
        <f aca="false">'Debt Schedule'!H8</f>
        <v>-0.3599</v>
      </c>
      <c r="I6" s="86" t="n">
        <f aca="false">'Debt Schedule'!I8</f>
        <v>-0.4525</v>
      </c>
      <c r="J6" s="86" t="n">
        <f aca="false">'Debt Schedule'!J8</f>
        <v>-0.558</v>
      </c>
      <c r="K6" s="86" t="n">
        <f aca="false">'Debt Schedule'!K8</f>
        <v>-0.6783</v>
      </c>
      <c r="L6" s="86" t="n">
        <f aca="false">'Debt Schedule'!L8</f>
        <v>-0.8154</v>
      </c>
      <c r="M6" s="86" t="n">
        <f aca="false">'Debt Schedule'!M8</f>
        <v>-0.9718</v>
      </c>
      <c r="N6" s="86" t="n">
        <f aca="false">'Debt Schedule'!N8</f>
        <v>-1.15</v>
      </c>
      <c r="O6" s="86" t="n">
        <f aca="false">'Debt Schedule'!O8</f>
        <v>-1.1078</v>
      </c>
      <c r="P6" s="86" t="n">
        <f aca="false">'Debt Schedule'!P8</f>
        <v>-1.0598</v>
      </c>
      <c r="Q6" s="86" t="n">
        <f aca="false">'Debt Schedule'!Q8</f>
        <v>-1.005</v>
      </c>
      <c r="R6" s="86" t="n">
        <f aca="false">'Debt Schedule'!R8</f>
        <v>-0.9425</v>
      </c>
      <c r="S6" s="86" t="n">
        <f aca="false">'Debt Schedule'!S8</f>
        <v>-0.8713</v>
      </c>
      <c r="T6" s="86" t="n">
        <f aca="false">'Debt Schedule'!T8</f>
        <v>-0.7901</v>
      </c>
      <c r="U6" s="86" t="n">
        <f aca="false">'Debt Schedule'!U8</f>
        <v>-0.6975</v>
      </c>
      <c r="V6" s="86" t="n">
        <f aca="false">'Debt Schedule'!V8</f>
        <v>-0.592</v>
      </c>
      <c r="W6" s="86" t="n">
        <f aca="false">'Debt Schedule'!W8</f>
        <v>-0.4717</v>
      </c>
      <c r="X6" s="86" t="n">
        <f aca="false">'Debt Schedule'!X8</f>
        <v>-0.3346</v>
      </c>
      <c r="Y6" s="86" t="n">
        <f aca="false">'Debt Schedule'!Y8</f>
        <v>-0.1782</v>
      </c>
    </row>
    <row r="7" customFormat="false" ht="15" hidden="false" customHeight="true" outlineLevel="0" collapsed="false">
      <c r="A7" s="11" t="s">
        <v>201</v>
      </c>
      <c r="C7" s="86" t="n">
        <f aca="false">'Debt Schedule'!C9</f>
        <v>-1.7718</v>
      </c>
      <c r="D7" s="86" t="n">
        <f aca="false">'Debt Schedule'!D9</f>
        <v>-2.0199</v>
      </c>
      <c r="E7" s="86" t="n">
        <f aca="false">'Debt Schedule'!E9</f>
        <v>-2.3025</v>
      </c>
      <c r="F7" s="86" t="n">
        <f aca="false">'Debt Schedule'!F9</f>
        <v>-2.6249</v>
      </c>
      <c r="G7" s="86" t="n">
        <f aca="false">'Debt Schedule'!G9</f>
        <v>-2.9923</v>
      </c>
      <c r="H7" s="86" t="n">
        <f aca="false">'Debt Schedule'!H9</f>
        <v>-3.4113</v>
      </c>
      <c r="I7" s="86" t="n">
        <f aca="false">'Debt Schedule'!I9</f>
        <v>-3.3668</v>
      </c>
      <c r="J7" s="86" t="n">
        <f aca="false">'Debt Schedule'!J9</f>
        <v>-2.4819</v>
      </c>
      <c r="K7" s="86" t="n">
        <f aca="false">'Debt Schedule'!K9</f>
        <v>-1.2428</v>
      </c>
      <c r="L7" s="86" t="n">
        <f aca="false">'Debt Schedule'!L9</f>
        <v>-0.6103</v>
      </c>
      <c r="M7" s="86" t="n">
        <f aca="false">'Debt Schedule'!M9</f>
        <v>-0.6958</v>
      </c>
      <c r="N7" s="86" t="n">
        <f aca="false">'Debt Schedule'!N9</f>
        <v>-0.7932</v>
      </c>
      <c r="O7" s="86" t="n">
        <f aca="false">'Debt Schedule'!O9</f>
        <v>-0</v>
      </c>
      <c r="P7" s="86" t="n">
        <f aca="false">'Debt Schedule'!P9</f>
        <v>-0</v>
      </c>
      <c r="Q7" s="86" t="n">
        <f aca="false">'Debt Schedule'!Q9</f>
        <v>-0</v>
      </c>
      <c r="R7" s="86" t="n">
        <f aca="false">'Debt Schedule'!R9</f>
        <v>-0</v>
      </c>
      <c r="S7" s="86" t="n">
        <f aca="false">'Debt Schedule'!S9</f>
        <v>-0</v>
      </c>
      <c r="T7" s="86" t="n">
        <f aca="false">'Debt Schedule'!T9</f>
        <v>-0</v>
      </c>
      <c r="U7" s="86" t="n">
        <f aca="false">'Debt Schedule'!U9</f>
        <v>-0</v>
      </c>
      <c r="V7" s="86" t="n">
        <f aca="false">'Debt Schedule'!V9</f>
        <v>-0</v>
      </c>
      <c r="W7" s="86" t="n">
        <f aca="false">'Debt Schedule'!W9</f>
        <v>-0</v>
      </c>
      <c r="X7" s="86" t="n">
        <f aca="false">'Debt Schedule'!X9</f>
        <v>-0</v>
      </c>
      <c r="Y7" s="86" t="n">
        <f aca="false">'Debt Schedule'!Y9</f>
        <v>-0</v>
      </c>
    </row>
    <row r="8" customFormat="false" ht="15" hidden="false" customHeight="true" outlineLevel="0" collapsed="false">
      <c r="A8" s="11" t="s">
        <v>232</v>
      </c>
      <c r="C8" s="86" t="n">
        <f aca="false">'Debt Schedule'!C10</f>
        <v>-1.11403</v>
      </c>
      <c r="D8" s="86" t="n">
        <f aca="false">'Debt Schedule'!D10</f>
        <v>-1.339025</v>
      </c>
      <c r="E8" s="86" t="n">
        <f aca="false">'Debt Schedule'!E10</f>
        <v>-1.59551</v>
      </c>
      <c r="F8" s="86" t="n">
        <f aca="false">'Debt Schedule'!F10</f>
        <v>-1.88792</v>
      </c>
      <c r="G8" s="86" t="n">
        <f aca="false">'Debt Schedule'!G10</f>
        <v>-2.22127</v>
      </c>
      <c r="H8" s="86" t="n">
        <f aca="false">'Debt Schedule'!H10</f>
        <v>-2.55786</v>
      </c>
      <c r="I8" s="86" t="n">
        <f aca="false">'Debt Schedule'!I10</f>
        <v>-1.868045</v>
      </c>
      <c r="J8" s="86" t="n">
        <f aca="false">'Debt Schedule'!J10</f>
        <v>-1.915785</v>
      </c>
      <c r="K8" s="86" t="n">
        <f aca="false">'Debt Schedule'!K10</f>
        <v>-1.782475</v>
      </c>
      <c r="L8" s="86" t="n">
        <f aca="false">'Debt Schedule'!L10</f>
        <v>-1.546485</v>
      </c>
      <c r="M8" s="86" t="n">
        <f aca="false">'Debt Schedule'!M10</f>
        <v>-1.277455</v>
      </c>
      <c r="N8" s="86" t="n">
        <f aca="false">'Debt Schedule'!N10</f>
        <v>-1.066045</v>
      </c>
      <c r="O8" s="86" t="n">
        <f aca="false">'Debt Schedule'!O10</f>
        <v>-0.768165</v>
      </c>
      <c r="P8" s="86" t="n">
        <f aca="false">'Debt Schedule'!P10</f>
        <v>-0.58271</v>
      </c>
      <c r="Q8" s="86" t="n">
        <f aca="false">'Debt Schedule'!Q10</f>
        <v>-0.37128</v>
      </c>
      <c r="R8" s="86" t="n">
        <f aca="false">'Debt Schedule'!R10</f>
        <v>-0.292155</v>
      </c>
      <c r="S8" s="86" t="n">
        <f aca="false">'Debt Schedule'!S10</f>
        <v>-0.20196</v>
      </c>
      <c r="T8" s="86" t="n">
        <f aca="false">'Debt Schedule'!T10</f>
        <v>-0.183135</v>
      </c>
      <c r="U8" s="86" t="n">
        <f aca="false">'Debt Schedule'!U10</f>
        <v>-0.16168</v>
      </c>
      <c r="V8" s="86" t="n">
        <f aca="false">'Debt Schedule'!V10</f>
        <v>-0.13722</v>
      </c>
      <c r="W8" s="86" t="n">
        <f aca="false">'Debt Schedule'!W10</f>
        <v>-0.109335</v>
      </c>
      <c r="X8" s="86" t="n">
        <f aca="false">'Debt Schedule'!X10</f>
        <v>-0.07755</v>
      </c>
      <c r="Y8" s="86" t="n">
        <f aca="false">'Debt Schedule'!Y10</f>
        <v>-0.04131</v>
      </c>
    </row>
    <row r="9" customFormat="false" ht="15" hidden="false" customHeight="true" outlineLevel="0" collapsed="false">
      <c r="A9" s="11" t="s">
        <v>259</v>
      </c>
      <c r="C9" s="86" t="n">
        <f aca="false">'Debt Schedule'!C12</f>
        <v>-0.939817575</v>
      </c>
      <c r="D9" s="86" t="n">
        <f aca="false">'Debt Schedule'!D12</f>
        <v>-1.4635513125</v>
      </c>
      <c r="E9" s="86" t="n">
        <f aca="false">'Debt Schedule'!E12</f>
        <v>-1.700423775</v>
      </c>
      <c r="F9" s="86" t="n">
        <f aca="false">'Debt Schedule'!F12</f>
        <v>-1.9705473</v>
      </c>
      <c r="G9" s="86" t="n">
        <f aca="false">'Debt Schedule'!G12</f>
        <v>-2.278463175</v>
      </c>
      <c r="H9" s="86" t="n">
        <f aca="false">'Debt Schedule'!H12</f>
        <v>-2.57079465</v>
      </c>
      <c r="I9" s="86" t="n">
        <f aca="false">'Debt Schedule'!I12</f>
        <v>-1.3939988625</v>
      </c>
      <c r="J9" s="86" t="n">
        <f aca="false">'Debt Schedule'!J12</f>
        <v>-1.6071832125</v>
      </c>
      <c r="K9" s="86" t="n">
        <f aca="false">'Debt Schedule'!K12</f>
        <v>-1.6901274375</v>
      </c>
      <c r="L9" s="86" t="n">
        <f aca="false">'Debt Schedule'!L12</f>
        <v>-1.5247724625</v>
      </c>
      <c r="M9" s="86" t="n">
        <f aca="false">'Debt Schedule'!M12</f>
        <v>-1.1548573875</v>
      </c>
      <c r="N9" s="86" t="n">
        <f aca="false">'Debt Schedule'!N12</f>
        <v>-0.861671362500001</v>
      </c>
      <c r="O9" s="86" t="n">
        <f aca="false">'Debt Schedule'!O12</f>
        <v>-0.6985166625</v>
      </c>
      <c r="P9" s="86" t="n">
        <f aca="false">'Debt Schedule'!P12</f>
        <v>-0.499099275</v>
      </c>
      <c r="Q9" s="86" t="n">
        <f aca="false">'Debt Schedule'!Q12</f>
        <v>-0.2717307</v>
      </c>
      <c r="R9" s="86" t="n">
        <f aca="false">'Debt Schedule'!R12</f>
        <v>-0.1985691375</v>
      </c>
      <c r="S9" s="86" t="n">
        <f aca="false">'Debt Schedule'!S12</f>
        <v>-0.1152324</v>
      </c>
      <c r="T9" s="86" t="n">
        <f aca="false">'Debt Schedule'!T12</f>
        <v>-0.1044790875</v>
      </c>
      <c r="U9" s="86" t="n">
        <f aca="false">'Debt Schedule'!U12</f>
        <v>-0.0922392</v>
      </c>
      <c r="V9" s="86" t="n">
        <f aca="false">'Debt Schedule'!V12</f>
        <v>-0.0782905500000001</v>
      </c>
      <c r="W9" s="86" t="n">
        <f aca="false">'Debt Schedule'!W12</f>
        <v>-0.0623770875</v>
      </c>
      <c r="X9" s="86" t="n">
        <f aca="false">'Debt Schedule'!X12</f>
        <v>-0.044256375</v>
      </c>
      <c r="Y9" s="86" t="n">
        <f aca="false">'Debt Schedule'!Y12</f>
        <v>-0.023570775</v>
      </c>
    </row>
    <row r="10" customFormat="false" ht="15" hidden="false" customHeight="true" outlineLevel="0" collapsed="false">
      <c r="A10" s="11" t="s">
        <v>260</v>
      </c>
      <c r="C10" s="86" t="n">
        <f aca="false">'Debt Schedule'!C13</f>
        <v>-1.404</v>
      </c>
      <c r="D10" s="86" t="n">
        <f aca="false">'Debt Schedule'!D13</f>
        <v>-0</v>
      </c>
      <c r="E10" s="86" t="n">
        <f aca="false">'Debt Schedule'!E13</f>
        <v>-0</v>
      </c>
      <c r="F10" s="86" t="n">
        <f aca="false">'Debt Schedule'!F13</f>
        <v>-0</v>
      </c>
      <c r="G10" s="86" t="n">
        <f aca="false">'Debt Schedule'!G13</f>
        <v>-0</v>
      </c>
      <c r="H10" s="86" t="n">
        <f aca="false">'Debt Schedule'!H13</f>
        <v>-0</v>
      </c>
      <c r="I10" s="86" t="n">
        <f aca="false">'Debt Schedule'!I13</f>
        <v>-0</v>
      </c>
      <c r="J10" s="86" t="n">
        <f aca="false">'Debt Schedule'!J13</f>
        <v>-0</v>
      </c>
      <c r="K10" s="86" t="n">
        <f aca="false">'Debt Schedule'!K13</f>
        <v>-0</v>
      </c>
      <c r="L10" s="86" t="n">
        <f aca="false">'Debt Schedule'!L13</f>
        <v>-0</v>
      </c>
      <c r="M10" s="86" t="n">
        <f aca="false">'Debt Schedule'!M13</f>
        <v>-0</v>
      </c>
      <c r="N10" s="86" t="n">
        <f aca="false">'Debt Schedule'!N13</f>
        <v>-0</v>
      </c>
      <c r="O10" s="86" t="n">
        <f aca="false">'Debt Schedule'!O13</f>
        <v>-0</v>
      </c>
      <c r="P10" s="86" t="n">
        <f aca="false">'Debt Schedule'!P13</f>
        <v>-0</v>
      </c>
      <c r="Q10" s="86" t="n">
        <f aca="false">'Debt Schedule'!Q13</f>
        <v>-0</v>
      </c>
      <c r="R10" s="86" t="n">
        <f aca="false">'Debt Schedule'!R13</f>
        <v>-0</v>
      </c>
      <c r="S10" s="86" t="n">
        <f aca="false">'Debt Schedule'!S13</f>
        <v>-0</v>
      </c>
      <c r="T10" s="86" t="n">
        <f aca="false">'Debt Schedule'!T13</f>
        <v>-0</v>
      </c>
      <c r="U10" s="86" t="n">
        <f aca="false">'Debt Schedule'!U13</f>
        <v>-0</v>
      </c>
      <c r="V10" s="86" t="n">
        <f aca="false">'Debt Schedule'!V13</f>
        <v>-0</v>
      </c>
      <c r="W10" s="86" t="n">
        <f aca="false">'Debt Schedule'!W13</f>
        <v>-0</v>
      </c>
      <c r="X10" s="86" t="n">
        <f aca="false">'Debt Schedule'!X13</f>
        <v>-0</v>
      </c>
      <c r="Y10" s="86" t="n">
        <f aca="false">'Debt Schedule'!Y13</f>
        <v>-0</v>
      </c>
    </row>
    <row r="11" customFormat="false" ht="15" hidden="false" customHeight="true" outlineLevel="0" collapsed="false">
      <c r="A11" s="77" t="s">
        <v>272</v>
      </c>
      <c r="C11" s="79" t="n">
        <f aca="false">SUM(C4:C10)</f>
        <v>3.899152425</v>
      </c>
      <c r="D11" s="79" t="n">
        <f aca="false">SUM(D4:D10)</f>
        <v>6.7221236875</v>
      </c>
      <c r="E11" s="79" t="n">
        <f aca="false">SUM(E4:E10)</f>
        <v>8.699766225</v>
      </c>
      <c r="F11" s="79" t="n">
        <f aca="false">SUM(F4:F10)</f>
        <v>10.9544327</v>
      </c>
      <c r="G11" s="79" t="n">
        <f aca="false">SUM(G4:G10)</f>
        <v>13.524366825</v>
      </c>
      <c r="H11" s="79" t="n">
        <f aca="false">SUM(H4:H10)</f>
        <v>16.67374535</v>
      </c>
      <c r="I11" s="79" t="n">
        <f aca="false">SUM(I4:I10)</f>
        <v>15.6272561375</v>
      </c>
      <c r="J11" s="79" t="n">
        <f aca="false">SUM(J4:J10)</f>
        <v>20.0953317875</v>
      </c>
      <c r="K11" s="79" t="n">
        <f aca="false">SUM(K4:K10)</f>
        <v>24.0340975625</v>
      </c>
      <c r="L11" s="79" t="n">
        <f aca="false">SUM(L4:L10)</f>
        <v>23.7758425375</v>
      </c>
      <c r="M11" s="79" t="n">
        <f aca="false">SUM(M4:M10)</f>
        <v>22.6884876125</v>
      </c>
      <c r="N11" s="79" t="n">
        <f aca="false">SUM(N4:N10)</f>
        <v>20.9677836375</v>
      </c>
      <c r="O11" s="79" t="n">
        <f aca="false">SUM(O4:O10)</f>
        <v>19.2283183375</v>
      </c>
      <c r="P11" s="79" t="n">
        <f aca="false">SUM(P4:P10)</f>
        <v>15.433590725</v>
      </c>
      <c r="Q11" s="79" t="n">
        <f aca="false">SUM(Q4:Q10)</f>
        <v>11.1076893</v>
      </c>
      <c r="R11" s="79" t="n">
        <f aca="false">SUM(R4:R10)</f>
        <v>6.2142758625</v>
      </c>
      <c r="S11" s="79" t="n">
        <f aca="false">SUM(S4:S10)</f>
        <v>2.7167076</v>
      </c>
      <c r="T11" s="79" t="n">
        <f aca="false">SUM(T4:T10)</f>
        <v>0.8531859125</v>
      </c>
      <c r="U11" s="79" t="n">
        <f aca="false">SUM(U4:U10)</f>
        <v>0.2407808</v>
      </c>
      <c r="V11" s="79" t="n">
        <f aca="false">SUM(V4:V10)</f>
        <v>-0.45731055</v>
      </c>
      <c r="W11" s="79" t="n">
        <f aca="false">SUM(W4:W10)</f>
        <v>-1.2531120875</v>
      </c>
      <c r="X11" s="79" t="n">
        <f aca="false">SUM(X4:X10)</f>
        <v>-0.888806375</v>
      </c>
      <c r="Y11" s="79" t="n">
        <f aca="false">SUM(Y4:Y10)</f>
        <v>-0.473480775</v>
      </c>
    </row>
    <row r="12" customFormat="false" ht="15" hidden="false" customHeight="true" outlineLevel="0" collapsed="false">
      <c r="A12" s="11" t="s">
        <v>258</v>
      </c>
      <c r="C12" s="86" t="n">
        <f aca="false">'Debt Schedule'!C11</f>
        <v>-0.111403</v>
      </c>
      <c r="D12" s="86" t="n">
        <f aca="false">'Debt Schedule'!D11</f>
        <v>-0.1339025</v>
      </c>
      <c r="E12" s="86" t="n">
        <f aca="false">'Debt Schedule'!E11</f>
        <v>-0.159551</v>
      </c>
      <c r="F12" s="86" t="n">
        <f aca="false">'Debt Schedule'!F11</f>
        <v>-0.188792</v>
      </c>
      <c r="G12" s="86" t="n">
        <f aca="false">'Debt Schedule'!G11</f>
        <v>-0.222127</v>
      </c>
      <c r="H12" s="86" t="n">
        <f aca="false">'Debt Schedule'!H11</f>
        <v>-0.255786</v>
      </c>
      <c r="I12" s="86" t="n">
        <f aca="false">'Debt Schedule'!I11</f>
        <v>-0.1868045</v>
      </c>
      <c r="J12" s="86" t="n">
        <f aca="false">'Debt Schedule'!J11</f>
        <v>-0.1915785</v>
      </c>
      <c r="K12" s="86" t="n">
        <f aca="false">'Debt Schedule'!K11</f>
        <v>-0.1782475</v>
      </c>
      <c r="L12" s="86" t="n">
        <f aca="false">'Debt Schedule'!L11</f>
        <v>-0.1546485</v>
      </c>
      <c r="M12" s="86" t="n">
        <f aca="false">'Debt Schedule'!M11</f>
        <v>-0.1277455</v>
      </c>
      <c r="N12" s="86" t="n">
        <f aca="false">'Debt Schedule'!N11</f>
        <v>-0.1066045</v>
      </c>
      <c r="O12" s="86" t="n">
        <f aca="false">'Debt Schedule'!O11</f>
        <v>-0.0768165</v>
      </c>
      <c r="P12" s="86" t="n">
        <f aca="false">'Debt Schedule'!P11</f>
        <v>-0.058271</v>
      </c>
      <c r="Q12" s="86" t="n">
        <f aca="false">'Debt Schedule'!Q11</f>
        <v>-0.037128</v>
      </c>
      <c r="R12" s="86" t="n">
        <f aca="false">'Debt Schedule'!R11</f>
        <v>-0.0292155</v>
      </c>
      <c r="S12" s="86" t="n">
        <f aca="false">'Debt Schedule'!S11</f>
        <v>-0.020196</v>
      </c>
      <c r="T12" s="86" t="n">
        <f aca="false">'Debt Schedule'!T11</f>
        <v>-0.0183135</v>
      </c>
      <c r="U12" s="86" t="n">
        <f aca="false">'Debt Schedule'!U11</f>
        <v>-0.016168</v>
      </c>
      <c r="V12" s="86" t="n">
        <f aca="false">'Debt Schedule'!V11</f>
        <v>-0.013722</v>
      </c>
      <c r="W12" s="86" t="n">
        <f aca="false">'Debt Schedule'!W11</f>
        <v>-0.0109335</v>
      </c>
      <c r="X12" s="86" t="n">
        <f aca="false">'Debt Schedule'!X11</f>
        <v>-0.007755</v>
      </c>
      <c r="Y12" s="86" t="n">
        <f aca="false">'Debt Schedule'!Y11</f>
        <v>-0.004131</v>
      </c>
    </row>
    <row r="13" customFormat="false" ht="15" hidden="false" customHeight="true" outlineLevel="0" collapsed="false">
      <c r="A13" s="77" t="s">
        <v>273</v>
      </c>
      <c r="C13" s="79" t="n">
        <f aca="false">C12</f>
        <v>-0.111403</v>
      </c>
      <c r="D13" s="79" t="n">
        <f aca="false">D12</f>
        <v>-0.1339025</v>
      </c>
      <c r="E13" s="79" t="n">
        <f aca="false">E12</f>
        <v>-0.159551</v>
      </c>
      <c r="F13" s="79" t="n">
        <f aca="false">F12</f>
        <v>-0.188792</v>
      </c>
      <c r="G13" s="79" t="n">
        <f aca="false">G12</f>
        <v>-0.222127</v>
      </c>
      <c r="H13" s="79" t="n">
        <f aca="false">H12</f>
        <v>-0.255786</v>
      </c>
      <c r="I13" s="79" t="n">
        <f aca="false">I12</f>
        <v>-0.1868045</v>
      </c>
      <c r="J13" s="79" t="n">
        <f aca="false">J12</f>
        <v>-0.1915785</v>
      </c>
      <c r="K13" s="79" t="n">
        <f aca="false">K12</f>
        <v>-0.1782475</v>
      </c>
      <c r="L13" s="79" t="n">
        <f aca="false">L12</f>
        <v>-0.1546485</v>
      </c>
      <c r="M13" s="79" t="n">
        <f aca="false">M12</f>
        <v>-0.1277455</v>
      </c>
      <c r="N13" s="79" t="n">
        <f aca="false">N12</f>
        <v>-0.1066045</v>
      </c>
      <c r="O13" s="79" t="n">
        <f aca="false">O12</f>
        <v>-0.0768165</v>
      </c>
      <c r="P13" s="79" t="n">
        <f aca="false">P12</f>
        <v>-0.058271</v>
      </c>
      <c r="Q13" s="79" t="n">
        <f aca="false">Q12</f>
        <v>-0.037128</v>
      </c>
      <c r="R13" s="79" t="n">
        <f aca="false">R12</f>
        <v>-0.0292155</v>
      </c>
      <c r="S13" s="79" t="n">
        <f aca="false">S12</f>
        <v>-0.020196</v>
      </c>
      <c r="T13" s="79" t="n">
        <f aca="false">T12</f>
        <v>-0.0183135</v>
      </c>
      <c r="U13" s="79" t="n">
        <f aca="false">U12</f>
        <v>-0.016168</v>
      </c>
      <c r="V13" s="79" t="n">
        <f aca="false">V12</f>
        <v>-0.013722</v>
      </c>
      <c r="W13" s="79" t="n">
        <f aca="false">W12</f>
        <v>-0.0109335</v>
      </c>
      <c r="X13" s="79" t="n">
        <f aca="false">X12</f>
        <v>-0.007755</v>
      </c>
      <c r="Y13" s="79" t="n">
        <f aca="false">Y12</f>
        <v>-0.004131</v>
      </c>
    </row>
    <row r="14" customFormat="false" ht="15" hidden="false" customHeight="true" outlineLevel="0" collapsed="false">
      <c r="A14" s="11" t="s">
        <v>274</v>
      </c>
      <c r="C14" s="86" t="n">
        <f aca="false">'Debt Schedule'!C17</f>
        <v>-7.8</v>
      </c>
      <c r="D14" s="86" t="n">
        <f aca="false">'Debt Schedule'!D17</f>
        <v>-0</v>
      </c>
      <c r="E14" s="86" t="n">
        <f aca="false">'Debt Schedule'!E17</f>
        <v>-0</v>
      </c>
      <c r="F14" s="86" t="n">
        <f aca="false">'Debt Schedule'!F17</f>
        <v>-0</v>
      </c>
      <c r="G14" s="86" t="n">
        <f aca="false">'Debt Schedule'!G17</f>
        <v>-0</v>
      </c>
      <c r="H14" s="86" t="n">
        <f aca="false">'Debt Schedule'!H17</f>
        <v>-0</v>
      </c>
      <c r="I14" s="86" t="n">
        <f aca="false">'Debt Schedule'!I17</f>
        <v>-0</v>
      </c>
      <c r="J14" s="86" t="n">
        <f aca="false">'Debt Schedule'!J17</f>
        <v>-0</v>
      </c>
      <c r="K14" s="86" t="n">
        <f aca="false">'Debt Schedule'!K17</f>
        <v>-0</v>
      </c>
      <c r="L14" s="86" t="n">
        <f aca="false">'Debt Schedule'!L17</f>
        <v>-0</v>
      </c>
      <c r="M14" s="86" t="n">
        <f aca="false">'Debt Schedule'!M17</f>
        <v>-0</v>
      </c>
      <c r="N14" s="86" t="n">
        <f aca="false">'Debt Schedule'!N17</f>
        <v>-0</v>
      </c>
      <c r="O14" s="86" t="n">
        <f aca="false">'Debt Schedule'!O17</f>
        <v>-0</v>
      </c>
      <c r="P14" s="86" t="n">
        <f aca="false">'Debt Schedule'!P17</f>
        <v>-0</v>
      </c>
      <c r="Q14" s="86" t="n">
        <f aca="false">'Debt Schedule'!Q17</f>
        <v>-0</v>
      </c>
      <c r="R14" s="86" t="n">
        <f aca="false">'Debt Schedule'!R17</f>
        <v>-0</v>
      </c>
      <c r="S14" s="86" t="n">
        <f aca="false">'Debt Schedule'!S17</f>
        <v>-0</v>
      </c>
      <c r="T14" s="86" t="n">
        <f aca="false">'Debt Schedule'!T17</f>
        <v>-0</v>
      </c>
      <c r="U14" s="86" t="n">
        <f aca="false">'Debt Schedule'!U17</f>
        <v>-0</v>
      </c>
      <c r="V14" s="86" t="n">
        <f aca="false">'Debt Schedule'!V17</f>
        <v>-0</v>
      </c>
      <c r="W14" s="86" t="n">
        <f aca="false">'Debt Schedule'!W17</f>
        <v>-0</v>
      </c>
      <c r="X14" s="86" t="n">
        <f aca="false">'Debt Schedule'!X17</f>
        <v>-0</v>
      </c>
      <c r="Y14" s="86" t="n">
        <f aca="false">'Debt Schedule'!Y17</f>
        <v>-0</v>
      </c>
    </row>
    <row r="15" customFormat="false" ht="15" hidden="false" customHeight="true" outlineLevel="0" collapsed="false">
      <c r="A15" s="77" t="s">
        <v>275</v>
      </c>
      <c r="C15" s="79" t="n">
        <f aca="false">C14</f>
        <v>-7.8</v>
      </c>
      <c r="D15" s="79" t="n">
        <f aca="false">D14</f>
        <v>-0</v>
      </c>
      <c r="E15" s="79" t="n">
        <f aca="false">E14</f>
        <v>-0</v>
      </c>
      <c r="F15" s="79" t="n">
        <f aca="false">F14</f>
        <v>-0</v>
      </c>
      <c r="G15" s="79" t="n">
        <f aca="false">G14</f>
        <v>-0</v>
      </c>
      <c r="H15" s="79" t="n">
        <f aca="false">H14</f>
        <v>-0</v>
      </c>
      <c r="I15" s="79" t="n">
        <f aca="false">I14</f>
        <v>-0</v>
      </c>
      <c r="J15" s="79" t="n">
        <f aca="false">J14</f>
        <v>-0</v>
      </c>
      <c r="K15" s="79" t="n">
        <f aca="false">K14</f>
        <v>-0</v>
      </c>
      <c r="L15" s="79" t="n">
        <f aca="false">L14</f>
        <v>-0</v>
      </c>
      <c r="M15" s="79" t="n">
        <f aca="false">M14</f>
        <v>-0</v>
      </c>
      <c r="N15" s="79" t="n">
        <f aca="false">N14</f>
        <v>-0</v>
      </c>
      <c r="O15" s="79" t="n">
        <f aca="false">O14</f>
        <v>-0</v>
      </c>
      <c r="P15" s="79" t="n">
        <f aca="false">P14</f>
        <v>-0</v>
      </c>
      <c r="Q15" s="79" t="n">
        <f aca="false">Q14</f>
        <v>-0</v>
      </c>
      <c r="R15" s="79" t="n">
        <f aca="false">R14</f>
        <v>-0</v>
      </c>
      <c r="S15" s="79" t="n">
        <f aca="false">S14</f>
        <v>-0</v>
      </c>
      <c r="T15" s="79" t="n">
        <f aca="false">T14</f>
        <v>-0</v>
      </c>
      <c r="U15" s="79" t="n">
        <f aca="false">U14</f>
        <v>-0</v>
      </c>
      <c r="V15" s="79" t="n">
        <f aca="false">V14</f>
        <v>-0</v>
      </c>
      <c r="W15" s="79" t="n">
        <f aca="false">W14</f>
        <v>-0</v>
      </c>
      <c r="X15" s="79" t="n">
        <f aca="false">X14</f>
        <v>-0</v>
      </c>
      <c r="Y15" s="79" t="n">
        <f aca="false">Y14</f>
        <v>-0</v>
      </c>
    </row>
    <row r="16" customFormat="false" ht="15" hidden="false" customHeight="true" outlineLevel="0" collapsed="false">
      <c r="A16" s="77" t="s">
        <v>276</v>
      </c>
      <c r="C16" s="79" t="n">
        <f aca="false">C11+C13+C15</f>
        <v>-4.012250575</v>
      </c>
      <c r="D16" s="79" t="n">
        <f aca="false">D11+D13+D15</f>
        <v>6.5882211875</v>
      </c>
      <c r="E16" s="79" t="n">
        <f aca="false">E11+E13+E15</f>
        <v>8.540215225</v>
      </c>
      <c r="F16" s="79" t="n">
        <f aca="false">F11+F13+F15</f>
        <v>10.7656407</v>
      </c>
      <c r="G16" s="79" t="n">
        <f aca="false">G11+G13+G15</f>
        <v>13.302239825</v>
      </c>
      <c r="H16" s="79" t="n">
        <f aca="false">H11+H13+H15</f>
        <v>16.41795935</v>
      </c>
      <c r="I16" s="79" t="n">
        <f aca="false">I11+I13+I15</f>
        <v>15.4404516375</v>
      </c>
      <c r="J16" s="79" t="n">
        <f aca="false">J11+J13+J15</f>
        <v>19.9037532875</v>
      </c>
      <c r="K16" s="79" t="n">
        <f aca="false">K11+K13+K15</f>
        <v>23.8558500625</v>
      </c>
      <c r="L16" s="79" t="n">
        <f aca="false">L11+L13+L15</f>
        <v>23.6211940375</v>
      </c>
      <c r="M16" s="79" t="n">
        <f aca="false">M11+M13+M15</f>
        <v>22.5607421125</v>
      </c>
      <c r="N16" s="79" t="n">
        <f aca="false">N11+N13+N15</f>
        <v>20.8611791375</v>
      </c>
      <c r="O16" s="79" t="n">
        <f aca="false">O11+O13+O15</f>
        <v>19.1515018375</v>
      </c>
      <c r="P16" s="79" t="n">
        <f aca="false">P11+P13+P15</f>
        <v>15.375319725</v>
      </c>
      <c r="Q16" s="79" t="n">
        <f aca="false">Q11+Q13+Q15</f>
        <v>11.0705613</v>
      </c>
      <c r="R16" s="79" t="n">
        <f aca="false">R11+R13+R15</f>
        <v>6.1850603625</v>
      </c>
      <c r="S16" s="79" t="n">
        <f aca="false">S11+S13+S15</f>
        <v>2.6965116</v>
      </c>
      <c r="T16" s="79" t="n">
        <f aca="false">T11+T13+T15</f>
        <v>0.8348724125</v>
      </c>
      <c r="U16" s="79" t="n">
        <f aca="false">U11+U13+U15</f>
        <v>0.2246128</v>
      </c>
      <c r="V16" s="79" t="n">
        <f aca="false">V11+V13+V15</f>
        <v>-0.47103255</v>
      </c>
      <c r="W16" s="79" t="n">
        <f aca="false">W11+W13+W15</f>
        <v>-1.2640455875</v>
      </c>
      <c r="X16" s="79" t="n">
        <f aca="false">X11+X13+X15</f>
        <v>-0.896561375</v>
      </c>
      <c r="Y16" s="79" t="n">
        <f aca="false">Y11+Y13+Y15</f>
        <v>-0.477611775</v>
      </c>
    </row>
    <row r="17" customFormat="false" ht="15" hidden="false" customHeight="true" outlineLevel="0" collapsed="false">
      <c r="A17" s="11" t="s">
        <v>262</v>
      </c>
      <c r="C17" s="86" t="n">
        <f aca="false">'Debt Schedule'!C15</f>
        <v>42.6</v>
      </c>
      <c r="D17" s="86" t="n">
        <f aca="false">'Debt Schedule'!D15</f>
        <v>38.587749425</v>
      </c>
      <c r="E17" s="86" t="n">
        <f aca="false">'Debt Schedule'!E15</f>
        <v>45.1759706125</v>
      </c>
      <c r="F17" s="86" t="n">
        <f aca="false">'Debt Schedule'!F15</f>
        <v>53.7161858375</v>
      </c>
      <c r="G17" s="86" t="n">
        <f aca="false">'Debt Schedule'!G15</f>
        <v>64.4818265375</v>
      </c>
      <c r="H17" s="86" t="n">
        <f aca="false">'Debt Schedule'!H15</f>
        <v>77.7840663625</v>
      </c>
      <c r="I17" s="86" t="n">
        <f aca="false">'Debt Schedule'!I15</f>
        <v>94.2020257125</v>
      </c>
      <c r="J17" s="86" t="n">
        <f aca="false">'Debt Schedule'!J15</f>
        <v>109.64247735</v>
      </c>
      <c r="K17" s="86" t="n">
        <f aca="false">'Debt Schedule'!K15</f>
        <v>129.5462306375</v>
      </c>
      <c r="L17" s="86" t="n">
        <f aca="false">'Debt Schedule'!L15</f>
        <v>153.4020807</v>
      </c>
      <c r="M17" s="86" t="n">
        <f aca="false">'Debt Schedule'!M15</f>
        <v>177.0232747375</v>
      </c>
      <c r="N17" s="86" t="n">
        <f aca="false">'Debt Schedule'!N15</f>
        <v>199.58401685</v>
      </c>
      <c r="O17" s="86" t="n">
        <f aca="false">'Debt Schedule'!O15</f>
        <v>220.4451959875</v>
      </c>
      <c r="P17" s="86" t="n">
        <f aca="false">'Debt Schedule'!P15</f>
        <v>239.596697825</v>
      </c>
      <c r="Q17" s="86" t="n">
        <f aca="false">'Debt Schedule'!Q15</f>
        <v>254.97201755</v>
      </c>
      <c r="R17" s="86" t="n">
        <f aca="false">'Debt Schedule'!R15</f>
        <v>266.04257885</v>
      </c>
      <c r="S17" s="86" t="n">
        <f aca="false">'Debt Schedule'!S15</f>
        <v>272.2276392125</v>
      </c>
      <c r="T17" s="86" t="n">
        <f aca="false">'Debt Schedule'!T15</f>
        <v>274.9241508125</v>
      </c>
      <c r="U17" s="86" t="n">
        <f aca="false">'Debt Schedule'!U15</f>
        <v>275.759023225</v>
      </c>
      <c r="V17" s="86" t="n">
        <f aca="false">'Debt Schedule'!V15</f>
        <v>275.983636025</v>
      </c>
      <c r="W17" s="86" t="n">
        <f aca="false">'Debt Schedule'!W15</f>
        <v>275.512603475</v>
      </c>
      <c r="X17" s="86" t="n">
        <f aca="false">'Debt Schedule'!X15</f>
        <v>274.2485578875</v>
      </c>
      <c r="Y17" s="86" t="n">
        <f aca="false">'Debt Schedule'!Y15</f>
        <v>273.3519965125</v>
      </c>
    </row>
    <row r="18" customFormat="false" ht="15" hidden="false" customHeight="true" outlineLevel="0" collapsed="false">
      <c r="A18" s="77" t="s">
        <v>266</v>
      </c>
      <c r="C18" s="79" t="n">
        <f aca="false">C17+C16</f>
        <v>38.587749425</v>
      </c>
      <c r="D18" s="79" t="n">
        <f aca="false">D17+D16</f>
        <v>45.1759706125</v>
      </c>
      <c r="E18" s="79" t="n">
        <f aca="false">E17+E16</f>
        <v>53.7161858375</v>
      </c>
      <c r="F18" s="79" t="n">
        <f aca="false">F17+F16</f>
        <v>64.4818265375</v>
      </c>
      <c r="G18" s="79" t="n">
        <f aca="false">G17+G16</f>
        <v>77.7840663625</v>
      </c>
      <c r="H18" s="79" t="n">
        <f aca="false">H17+H16</f>
        <v>94.2020257125</v>
      </c>
      <c r="I18" s="79" t="n">
        <f aca="false">I17+I16</f>
        <v>109.64247735</v>
      </c>
      <c r="J18" s="79" t="n">
        <f aca="false">J17+J16</f>
        <v>129.5462306375</v>
      </c>
      <c r="K18" s="79" t="n">
        <f aca="false">K17+K16</f>
        <v>153.4020807</v>
      </c>
      <c r="L18" s="79" t="n">
        <f aca="false">L17+L16</f>
        <v>177.0232747375</v>
      </c>
      <c r="M18" s="79" t="n">
        <f aca="false">M17+M16</f>
        <v>199.58401685</v>
      </c>
      <c r="N18" s="79" t="n">
        <f aca="false">N17+N16</f>
        <v>220.4451959875</v>
      </c>
      <c r="O18" s="79" t="n">
        <f aca="false">O17+O16</f>
        <v>239.596697825</v>
      </c>
      <c r="P18" s="79" t="n">
        <f aca="false">P17+P16</f>
        <v>254.97201755</v>
      </c>
      <c r="Q18" s="79" t="n">
        <f aca="false">Q17+Q16</f>
        <v>266.04257885</v>
      </c>
      <c r="R18" s="79" t="n">
        <f aca="false">R17+R16</f>
        <v>272.2276392125</v>
      </c>
      <c r="S18" s="79" t="n">
        <f aca="false">S17+S16</f>
        <v>274.9241508125</v>
      </c>
      <c r="T18" s="79" t="n">
        <f aca="false">T17+T16</f>
        <v>275.759023225</v>
      </c>
      <c r="U18" s="79" t="n">
        <f aca="false">U17+U16</f>
        <v>275.983636025</v>
      </c>
      <c r="V18" s="79" t="n">
        <f aca="false">V17+V16</f>
        <v>275.512603475</v>
      </c>
      <c r="W18" s="79" t="n">
        <f aca="false">W17+W16</f>
        <v>274.2485578875</v>
      </c>
      <c r="X18" s="79" t="n">
        <f aca="false">X17+X16</f>
        <v>273.3519965125</v>
      </c>
      <c r="Y18" s="79" t="n">
        <f aca="false">Y17+Y16</f>
        <v>272.8743847375</v>
      </c>
    </row>
    <row r="19" customFormat="false" ht="15" hidden="false" customHeight="true" outlineLevel="0" collapsed="false">
      <c r="A19" s="11" t="s">
        <v>277</v>
      </c>
      <c r="C19" s="19" t="n">
        <f aca="false">C18-'Debt Schedule'!C19</f>
        <v>0</v>
      </c>
      <c r="D19" s="19" t="n">
        <f aca="false">D18-'Debt Schedule'!D19</f>
        <v>0</v>
      </c>
      <c r="E19" s="19" t="n">
        <f aca="false">E18-'Debt Schedule'!E19</f>
        <v>0</v>
      </c>
      <c r="F19" s="19" t="n">
        <f aca="false">F18-'Debt Schedule'!F19</f>
        <v>0</v>
      </c>
      <c r="G19" s="19" t="n">
        <f aca="false">G18-'Debt Schedule'!G19</f>
        <v>0</v>
      </c>
      <c r="H19" s="19" t="n">
        <f aca="false">H18-'Debt Schedule'!H19</f>
        <v>0</v>
      </c>
      <c r="I19" s="19" t="n">
        <f aca="false">I18-'Debt Schedule'!I19</f>
        <v>0</v>
      </c>
      <c r="J19" s="19" t="n">
        <f aca="false">J18-'Debt Schedule'!J19</f>
        <v>0</v>
      </c>
      <c r="K19" s="19" t="n">
        <f aca="false">K18-'Debt Schedule'!K19</f>
        <v>0</v>
      </c>
      <c r="L19" s="19" t="n">
        <f aca="false">L18-'Debt Schedule'!L19</f>
        <v>0</v>
      </c>
      <c r="M19" s="19" t="n">
        <f aca="false">M18-'Debt Schedule'!M19</f>
        <v>0</v>
      </c>
      <c r="N19" s="19" t="n">
        <f aca="false">N18-'Debt Schedule'!N19</f>
        <v>0</v>
      </c>
      <c r="O19" s="19" t="n">
        <f aca="false">O18-'Debt Schedule'!O19</f>
        <v>0</v>
      </c>
      <c r="P19" s="19" t="n">
        <f aca="false">P18-'Debt Schedule'!P19</f>
        <v>0</v>
      </c>
      <c r="Q19" s="19" t="n">
        <f aca="false">Q18-'Debt Schedule'!Q19</f>
        <v>0</v>
      </c>
      <c r="R19" s="19" t="n">
        <f aca="false">R18-'Debt Schedule'!R19</f>
        <v>0</v>
      </c>
      <c r="S19" s="19" t="n">
        <f aca="false">S18-'Debt Schedule'!S19</f>
        <v>0</v>
      </c>
      <c r="T19" s="19" t="n">
        <f aca="false">T18-'Debt Schedule'!T19</f>
        <v>0</v>
      </c>
      <c r="U19" s="19" t="n">
        <f aca="false">U18-'Debt Schedule'!U19</f>
        <v>0</v>
      </c>
      <c r="V19" s="19" t="n">
        <f aca="false">V18-'Debt Schedule'!V19</f>
        <v>0</v>
      </c>
      <c r="W19" s="19" t="n">
        <f aca="false">W18-'Debt Schedule'!W19</f>
        <v>0</v>
      </c>
      <c r="X19" s="19" t="n">
        <f aca="false">X18-'Debt Schedule'!X19</f>
        <v>0</v>
      </c>
      <c r="Y19" s="19" t="n">
        <f aca="false">Y18-'Debt Schedule'!Y19</f>
        <v>0</v>
      </c>
    </row>
    <row r="22" customFormat="false" ht="15" hidden="false" customHeight="true" outlineLevel="0" collapsed="false">
      <c r="A22" s="10" t="s">
        <v>278</v>
      </c>
      <c r="B22" s="10"/>
      <c r="C22" s="10"/>
      <c r="D22" s="10"/>
      <c r="E22" s="88"/>
      <c r="F22" s="89"/>
    </row>
    <row r="23" customFormat="false" ht="15" hidden="false" customHeight="true" outlineLevel="0" collapsed="false">
      <c r="A23" s="51" t="s">
        <v>194</v>
      </c>
      <c r="B23" s="51" t="s">
        <v>244</v>
      </c>
      <c r="C23" s="51" t="s">
        <v>245</v>
      </c>
      <c r="D23" s="51" t="s">
        <v>246</v>
      </c>
      <c r="E23" s="89"/>
      <c r="F23" s="89"/>
    </row>
    <row r="24" customFormat="false" ht="15" hidden="false" customHeight="true" outlineLevel="0" collapsed="false">
      <c r="A24" s="11" t="s">
        <v>279</v>
      </c>
      <c r="B24" s="19" t="n">
        <v>-0.719</v>
      </c>
      <c r="C24" s="19" t="n">
        <v>12.277</v>
      </c>
      <c r="D24" s="19" t="n">
        <v>9.343</v>
      </c>
      <c r="E24" s="89"/>
      <c r="F24" s="89"/>
    </row>
    <row r="25" customFormat="false" ht="15" hidden="false" customHeight="true" outlineLevel="0" collapsed="false">
      <c r="A25" s="11" t="s">
        <v>280</v>
      </c>
      <c r="B25" s="19" t="n">
        <v>1.405</v>
      </c>
      <c r="C25" s="19" t="n">
        <v>-2.83</v>
      </c>
      <c r="D25" s="19" t="n">
        <v>-4.026</v>
      </c>
      <c r="E25" s="89"/>
      <c r="F25" s="89"/>
    </row>
    <row r="26" customFormat="false" ht="15" hidden="false" customHeight="true" outlineLevel="0" collapsed="false">
      <c r="A26" s="11" t="s">
        <v>281</v>
      </c>
      <c r="B26" s="19" t="n">
        <v>-0.147</v>
      </c>
      <c r="C26" s="19" t="n">
        <v>0.292</v>
      </c>
      <c r="D26" s="19" t="n">
        <v>-0.259</v>
      </c>
      <c r="E26" s="89"/>
      <c r="F26" s="89"/>
    </row>
    <row r="27" customFormat="false" ht="15" hidden="false" customHeight="true" outlineLevel="0" collapsed="false">
      <c r="A27" s="11" t="s">
        <v>282</v>
      </c>
      <c r="B27" s="19" t="n">
        <v>1.69</v>
      </c>
      <c r="C27" s="19" t="n">
        <v>8.447</v>
      </c>
      <c r="D27" s="19" t="n">
        <v>-2.244</v>
      </c>
      <c r="E27" s="89"/>
      <c r="F27" s="89"/>
    </row>
    <row r="28" customFormat="false" ht="15" hidden="false" customHeight="true" outlineLevel="0" collapsed="false">
      <c r="A28" s="11" t="s">
        <v>276</v>
      </c>
      <c r="B28" s="19" t="n">
        <v>2.229</v>
      </c>
      <c r="C28" s="19" t="n">
        <v>18.186</v>
      </c>
      <c r="D28" s="19" t="n">
        <v>2.814</v>
      </c>
      <c r="E28" s="89"/>
      <c r="F28" s="89"/>
    </row>
    <row r="29" customFormat="false" ht="15" hidden="false" customHeight="true" outlineLevel="0" collapsed="false">
      <c r="A29" s="11"/>
      <c r="B29" s="90"/>
      <c r="C29" s="90"/>
      <c r="D29" s="90"/>
      <c r="E29" s="89"/>
      <c r="F29" s="89"/>
    </row>
    <row r="30" customFormat="false" ht="15" hidden="false" customHeight="true" outlineLevel="0" collapsed="false">
      <c r="A30" s="11" t="s">
        <v>283</v>
      </c>
      <c r="B30" s="19" t="n">
        <v>-2.352</v>
      </c>
      <c r="C30" s="19" t="n">
        <v>-1.119</v>
      </c>
      <c r="D30" s="19" t="n">
        <v>-1.061</v>
      </c>
      <c r="E30" s="89"/>
      <c r="F30" s="89"/>
    </row>
    <row r="31" customFormat="false" ht="15" hidden="false" customHeight="false" outlineLevel="0" collapsed="false">
      <c r="A31" s="35" t="s">
        <v>284</v>
      </c>
      <c r="B31" s="91" t="n">
        <v>-3.071</v>
      </c>
      <c r="C31" s="91" t="n">
        <v>11.158</v>
      </c>
      <c r="D31" s="91" t="n">
        <v>8.282</v>
      </c>
      <c r="E31" s="89"/>
      <c r="F31" s="89"/>
    </row>
    <row r="32" customFormat="false" ht="15" hidden="false" customHeight="false" outlineLevel="0" collapsed="false">
      <c r="A32" s="89"/>
      <c r="B32" s="89"/>
      <c r="C32" s="89"/>
      <c r="D32" s="89"/>
      <c r="E32" s="89"/>
      <c r="F32" s="89"/>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2026-06-09T12:50:40Z</dcterms:created>
  <dc:creator>openpyxl</dc:creator>
  <dc:description/>
  <dc:language>en-US</dc:language>
  <cp:lastModifiedBy/>
  <dcterms:modified xsi:type="dcterms:W3CDTF">2026-06-19T16:15:57Z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