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1.xml.rels" ContentType="application/vnd.openxmlformats-package.relationships+xml"/>
  <Override PartName="/xl/worksheets/_rels/sheet9.xml.rels" ContentType="application/vnd.openxmlformats-package.relationships+xml"/>
  <Override PartName="/xl/worksheets/sheet9.xml" ContentType="application/vnd.openxmlformats-officedocument.spreadsheetml.worksheet+xml"/>
  <Override PartName="/xl/worksheets/sheet11.xml" ContentType="application/vnd.openxmlformats-officedocument.spreadsheetml.worksheet+xml"/>
  <Override PartName="/xl/worksheets/sheet6.xml" ContentType="application/vnd.openxmlformats-officedocument.spreadsheetml.worksheet+xml"/>
  <Override PartName="/xl/worksheets/sheet10.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3.xml" ContentType="application/vnd.openxmlformats-officedocument.spreadsheetml.worksheet+xml"/>
  <Override PartName="/xl/worksheets/sheet8.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12.xml" ContentType="application/vnd.openxmlformats-officedocument.spreadsheetml.worksheet+xml"/>
  <Override PartName="/xl/worksheets/sheet1.xml" ContentType="application/vnd.openxmlformats-officedocument.spreadsheetml.worksheet+xml"/>
  <Override PartName="/xl/comments9.xml" ContentType="application/vnd.openxmlformats-officedocument.spreadsheetml.comments+xml"/>
  <Override PartName="/xl/sharedStrings.xml" ContentType="application/vnd.openxmlformats-officedocument.spreadsheetml.sharedStrings+xml"/>
  <Override PartName="/xl/drawings/vmlDrawing1.vml" ContentType="application/vnd.openxmlformats-officedocument.vmlDrawing"/>
  <Override PartName="/xl/drawings/vmlDrawing2.vml" ContentType="application/vnd.openxmlformats-officedocument.vmlDrawing"/>
  <Override PartName="/xl/comments11.xml" ContentType="application/vnd.openxmlformats-officedocument.spreadsheetml.comment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FIRST" sheetId="1" state="visible" r:id="rId3"/>
    <sheet name="Summary" sheetId="2" state="visible" r:id="rId4"/>
    <sheet name="Assumptions" sheetId="3" state="visible" r:id="rId5"/>
    <sheet name="Project Economics" sheetId="4" state="visible" r:id="rId6"/>
    <sheet name="Project Cash Flows" sheetId="5" state="visible" r:id="rId7"/>
    <sheet name="Income Statement" sheetId="6" state="visible" r:id="rId8"/>
    <sheet name="Debt Schedule" sheetId="7" state="visible" r:id="rId9"/>
    <sheet name="Cash Flow Statement" sheetId="8" state="visible" r:id="rId10"/>
    <sheet name="Balance Sheet" sheetId="9" state="visible" r:id="rId11"/>
    <sheet name="Segments" sheetId="10" state="visible" r:id="rId12"/>
    <sheet name="Valuation" sheetId="11" state="visible" r:id="rId13"/>
    <sheet name="Monte Carlo" sheetId="12" state="visible" r:id="rId14"/>
    <sheet name="Sensitivity" sheetId="13" state="visible" r:id="rId15"/>
  </sheets>
  <calcPr iterateCount="100" refMode="A1" iterate="false" iterateDelta="0.0001"/>
  <extLst>
    <ext xmlns:loext="http://schemas.libreoffice.org/" uri="{7626C862-2A13-11E5-B345-FEFF819CDC9F}">
      <loext:extCalcPr stringRefSyntax="ExcelA1"/>
    </ext>
  </extLst>
</workbook>
</file>

<file path=xl/comments11.xml><?xml version="1.0" encoding="utf-8"?>
<comments xmlns="http://schemas.openxmlformats.org/spreadsheetml/2006/main" xmlns:xdr="http://schemas.openxmlformats.org/drawingml/2006/spreadsheetDrawing">
  <authors>
    <author>Unknown Author</author>
  </authors>
  <commentList>
    <comment ref="B10" authorId="0">
      <text>
        <r>
          <rPr>
            <sz val="10"/>
            <rFont val="Arial"/>
            <family val="2"/>
          </rPr>
          <t xml:space="preserve">Run-off (self-liquidating) basis: a developer monetises a finite land bank, so NO Gordon perpetuity is bolted on. The explicit FCFF already values the disclosed pipeline to completion. Removing the perpetuity makes the consolidated DCF tie to the per-project SOTP (gross).</t>
        </r>
      </text>
    </comment>
  </commentList>
</comments>
</file>

<file path=xl/comments9.xml><?xml version="1.0" encoding="utf-8"?>
<comments xmlns="http://schemas.openxmlformats.org/spreadsheetml/2006/main" xmlns:xdr="http://schemas.openxmlformats.org/drawingml/2006/spreadsheetDrawing">
  <authors>
    <author>Unknown Author</author>
  </authors>
  <commentList>
    <comment ref="C7" authorId="0">
      <text>
        <r>
          <rPr>
            <sz val="10"/>
            <rFont val="Arial"/>
            <family val="2"/>
          </rPr>
          <t xml:space="preserve">Inventory = owned land + WIP carried at BOOK, drawn down pro-rata as units are delivered (self-liquidating from the disclosed pipeline). The model previously expensed land through COGS at MARKET, which drove this line negative; that market-vs-book gap is now carried correctly as a land revaluation reserve in equity (row 27), not netted against inventory. The DCF/SOTP value is unchanged (it is cash-based and treats owned land as sunk).</t>
        </r>
      </text>
    </comment>
  </commentList>
</comments>
</file>

<file path=xl/sharedStrings.xml><?xml version="1.0" encoding="utf-8"?>
<sst xmlns="http://schemas.openxmlformats.org/spreadsheetml/2006/main" count="944" uniqueCount="435">
  <si>
    <t xml:space="preserve">READ FIRST — DISCLOSURE &amp; DISCLAIMER · TMGH VALUATION MODEL (EDUCATIONAL)</t>
  </si>
  <si>
    <t xml:space="preserve">NATURE OF THIS WORKBOOK</t>
  </si>
  <si>
    <t xml:space="preserve">This workbook is an educational valuation model and an expression of the preparer’s personal analytical opinion, built exclusively from publicly available information and explicit, stated assumptions. It is published free of charge, on a standing periodic schedule, to demonstrate methodology and to invite scrutiny of that methodology.</t>
  </si>
  <si>
    <t xml:space="preserve">NO ADVICE, NO RECOMMENDATION, NO SOLICITATION</t>
  </si>
  <si>
    <t xml:space="preserve">Nothing in this workbook constitutes investment advice, financial consultancy, securities analysis services, a research recommendation, a rating, a price target, an offer, or a solicitation to buy, sell, hold or deal in any security. No statement here is directed at the objectives, financial situation or needs of any person.</t>
  </si>
  <si>
    <t xml:space="preserve">NO LICENSED ACTIVITY</t>
  </si>
  <si>
    <t xml:space="preserve">The preparer is not licensed or registered with the Egyptian Financial Regulatory Authority (FRA) or any other securities regulator; does not carry on financial consultancy, securities evaluation/analysis, portfolio management, brokerage or promotion; does not manage money; and accepts no clients, fees, subscriptions or funds.</t>
  </si>
  <si>
    <t xml:space="preserve">PUBLICATION INDEPENDENCE</t>
  </si>
  <si>
    <t xml:space="preserve">This workbook was prepared and published independently, on a pre-set schedule, and is not intended to and must not be used to influence the market price of any security.</t>
  </si>
  <si>
    <t xml:space="preserve">ESTIMATES AND UNCERTAINTY</t>
  </si>
  <si>
    <t xml:space="preserve">All values are model outputs resting on explicit, subjective assumptions; they are illustrative, highly uncertain, and likely to prove wrong in material respects. They are presented as ranges and distributions because no single number should be relied on. Vendor-sourced data are flagged where used and are not guaranteed.</t>
  </si>
  <si>
    <t xml:space="preserve">NO LIABILITY</t>
  </si>
  <si>
    <t xml:space="preserve">To the maximum extent permitted by applicable law, the preparer accepts no liability whatsoever for any decision made or action taken or not taken, or for any loss or damage incurred, by any person in reliance on or in connection with any part of this workbook.</t>
  </si>
  <si>
    <t xml:space="preserve">READER’S RESPONSIBILITY</t>
  </si>
  <si>
    <t xml:space="preserve">Any person considering an investment decision should conduct their own independent assessment and consult a financial advisor licensed in their jurisdiction. If publication of material of this kind is restricted where you are reading it, do not rely on it.</t>
  </si>
  <si>
    <t xml:space="preserve">HOW TO USE THIS MODEL</t>
  </si>
  <si>
    <t xml:space="preserve">Blue cells are hardcoded inputs you can overwrite (assumptions and market-calibrated estimates). Black cells are same-sheet formulas; green cells link across sheets. Change a blue cell and the statements, valuation and Monte Carlo update. Anchor price and technical inputs are taken from the attached TMGH price history (1 Jul 2025 – 17 Jun 2026).</t>
  </si>
  <si>
    <t xml:space="preserve">TALAAT MOUSTAFA GROUP (EGX:TMGH) — CLEAN-SHEET BOTTOM-UP VALUATION</t>
  </si>
  <si>
    <t xml:space="preserve">Independent build: project-by-project unit economics → consolidated 3 statements → three fundamental lenses (SOTP/RNAV · run-off DCF · NAV-with-discount). No external target embedded.</t>
  </si>
  <si>
    <t xml:space="preserve">HEADLINE — REPRESENTATIVE FUNDAMENTAL VALUE (EGP/share)</t>
  </si>
  <si>
    <t xml:space="preserve">Representative fundamental value (execution-weighted SOTP/RNAV — primary)</t>
  </si>
  <si>
    <t xml:space="preserve">Range across lenses — gross (full execution, SOTP)</t>
  </si>
  <si>
    <t xml:space="preserve">Range across lenses — bear floor (cash + backlog + segments)</t>
  </si>
  <si>
    <t xml:space="preserve">Cross-checks — run-off DCF / NAV-less-40% / market price</t>
  </si>
  <si>
    <t xml:space="preserve">WHAT THE NUMBER RESTS ON (edit on Assumptions)</t>
  </si>
  <si>
    <t xml:space="preserve">WACC (nominal EGP) — biggest lever</t>
  </si>
  <si>
    <t xml:space="preserve">Down-payment / collection speed</t>
  </si>
  <si>
    <t xml:space="preserve">Sales-price escalation p.a.</t>
  </si>
  <si>
    <t xml:space="preserve">Net cash — group (EGP bn); parent share 90%</t>
  </si>
  <si>
    <t xml:space="preserve">Minority interest haircut</t>
  </si>
  <si>
    <t xml:space="preserve">Life revenue / net income (EGP bn)</t>
  </si>
  <si>
    <t xml:space="preserve">METHODOLOGY</t>
  </si>
  <si>
    <t xml:space="preserve">•  Diversified group: 12 development projects (Madinaty, The Spine, SouthMED, Noor, Celia, Privado, Al Rehab, Sharm Bay, Banan-KSA, Oman, Baghdad, landbank) + sold backlog; hotels and recurring income valued as separate segments.</t>
  </si>
  <si>
    <t xml:space="preserve">•  Each project is the UNSOLD remainder only — already-sold units sit in the EGP 457.9bn backlog, so nothing is double-counted.</t>
  </si>
  <si>
    <t xml:space="preserve">•  Each project = units × price/m² and m² × construction-cost/m²; owned land is sunk (book cost in COGS, no future cash); JVs carry partner land so TMG earns a developer margin.</t>
  </si>
  <si>
    <t xml:space="preserve">•  Hospitality (owned, internationally-operated hotels) and recurring income (malls/clubs/utilities) valued on EBITDA × multiple, OUTSIDE the development cash-flow engine.</t>
  </si>
  <si>
    <t xml:space="preserve">•  TMG is in a large NET CASH position, so the equity bridge ADDS cash; a minority-interest haircut (~20%, FY25 attributable/consolidated) is deducted from the operating SOTP.</t>
  </si>
  <si>
    <t xml:space="preserve">•  Statements tie: IS → Debt → CF → Balance Sheet (check = 0). Gross = unlevered FCFF + TV + segments + net cash − minority; execution probabilities give the risk-adjusted figure.</t>
  </si>
  <si>
    <t xml:space="preserve">•  Estimates are calibrated to disclosed FY25/Q1-26 totals; pipeline, segment and minority splits are assumption-driven (vendor-sourced where noted). Every blue cell is an overwritable input.</t>
  </si>
  <si>
    <t xml:space="preserve">TALAAT MOUSTAFA GROUP (EGX:TMGH) — BOTTOM-UP VALUATION MODEL</t>
  </si>
  <si>
    <t xml:space="preserve">All blue cells are inputs. Clean-sheet build; no external price target embedded. EGP unless noted. Vendor-sourced where flagged.</t>
  </si>
  <si>
    <t xml:space="preserve">GLOBAL &amp; CORPORATE ASSUMPTIONS</t>
  </si>
  <si>
    <t xml:space="preserve">Shares outstanding (bn)</t>
  </si>
  <si>
    <t xml:space="preserve">Net cash (+) / net debt (–) (EGP bn)</t>
  </si>
  <si>
    <t xml:space="preserve">Gross debt — opening (EGP bn)</t>
  </si>
  <si>
    <t xml:space="preserve">Cash — opening (EGP bn)</t>
  </si>
  <si>
    <t xml:space="preserve">Book equity — opening, incl. minority (EGP bn)</t>
  </si>
  <si>
    <t xml:space="preserve">Total assets — opening (EGP bn)</t>
  </si>
  <si>
    <t xml:space="preserve">WACC (nominal EGP)</t>
  </si>
  <si>
    <t xml:space="preserve">Tax rate</t>
  </si>
  <si>
    <t xml:space="preserve">Cost of debt</t>
  </si>
  <si>
    <t xml:space="preserve">Down-payment at contract</t>
  </si>
  <si>
    <t xml:space="preserve">Collected during build (share)</t>
  </si>
  <si>
    <t xml:space="preserve">Installment tenor (yrs)</t>
  </si>
  <si>
    <t xml:space="preserve">Post-handover tail (yrs)</t>
  </si>
  <si>
    <t xml:space="preserve">Corporate overhead (% revenue)</t>
  </si>
  <si>
    <t xml:space="preserve">D&amp;A (% revenue)</t>
  </si>
  <si>
    <t xml:space="preserve">Minimum cash (EGP bn)</t>
  </si>
  <si>
    <t xml:space="preserve">Terminal value growth (g)</t>
  </si>
  <si>
    <t xml:space="preserve">Normalized terminal FCFF (EGP bn)</t>
  </si>
  <si>
    <t xml:space="preserve">Opening inventory: land+WIP (EGP bn)</t>
  </si>
  <si>
    <t xml:space="preserve">Opening net contract position (EGP bn)</t>
  </si>
  <si>
    <t xml:space="preserve">Opening other assets (EGP bn)</t>
  </si>
  <si>
    <t xml:space="preserve">Opening payables (EGP bn)</t>
  </si>
  <si>
    <t xml:space="preserve">Opening other liabilities (plug, ties BS)</t>
  </si>
  <si>
    <t xml:space="preserve">Minority — hotels (ICON, 40.5% ADQ/ADNEC)</t>
  </si>
  <si>
    <t xml:space="preserve">Minority — backlog (wtd-avg JV shares, see Segments)</t>
  </si>
  <si>
    <t xml:space="preserve">Net cash — parent-level share (research)</t>
  </si>
  <si>
    <t xml:space="preserve">SEGMENTS (valued separately: EBITDA × multiple)</t>
  </si>
  <si>
    <t xml:space="preserve">Hospitality EBITDA (EGP bn)</t>
  </si>
  <si>
    <t xml:space="preserve">Hospitality EV/EBITDA (x)</t>
  </si>
  <si>
    <t xml:space="preserve">Hospitality execution prob</t>
  </si>
  <si>
    <t xml:space="preserve">Recurring (malls/clubs/utilities) EBITDA (EGP bn)</t>
  </si>
  <si>
    <t xml:space="preserve">Recurring EV/EBITDA (x)</t>
  </si>
  <si>
    <t xml:space="preserve">Recurring execution prob</t>
  </si>
  <si>
    <t xml:space="preserve">Terminal-value execution weight</t>
  </si>
  <si>
    <t xml:space="preserve">PER-PROJECT STRUCTURAL ASSUMPTIONS</t>
  </si>
  <si>
    <t xml:space="preserve">Project</t>
  </si>
  <si>
    <t xml:space="preserve">Location</t>
  </si>
  <si>
    <t xml:space="preserve">Land (mn m²)</t>
  </si>
  <si>
    <t xml:space="preserve">Buildable %</t>
  </si>
  <si>
    <t xml:space="preserve">Land EGP/m²</t>
  </si>
  <si>
    <t xml:space="preserve">SG&amp;A %</t>
  </si>
  <si>
    <t xml:space="preserve">TMG share %</t>
  </si>
  <si>
    <t xml:space="preserve">Launch</t>
  </si>
  <si>
    <t xml:space="preserve">Sell yrs</t>
  </si>
  <si>
    <t xml:space="preserve">Build yrs</t>
  </si>
  <si>
    <t xml:space="preserve">Exec prob</t>
  </si>
  <si>
    <t xml:space="preserve">Sold %</t>
  </si>
  <si>
    <t xml:space="preserve">Madinaty (core)</t>
  </si>
  <si>
    <t xml:space="preserve">New Cairo</t>
  </si>
  <si>
    <t xml:space="preserve">The Spine</t>
  </si>
  <si>
    <t xml:space="preserve">Madinaty / New Cairo</t>
  </si>
  <si>
    <t xml:space="preserve">Privado</t>
  </si>
  <si>
    <t xml:space="preserve">Madinaty</t>
  </si>
  <si>
    <t xml:space="preserve">SouthMED</t>
  </si>
  <si>
    <t xml:space="preserve">North Coast</t>
  </si>
  <si>
    <t xml:space="preserve">Noor City</t>
  </si>
  <si>
    <t xml:space="preserve">East Cairo</t>
  </si>
  <si>
    <t xml:space="preserve">Celia</t>
  </si>
  <si>
    <t xml:space="preserve">New Capital</t>
  </si>
  <si>
    <t xml:space="preserve">Al Rehab (remainder)</t>
  </si>
  <si>
    <t xml:space="preserve">Sharm Bay</t>
  </si>
  <si>
    <t xml:space="preserve">Sharm El-Sheikh</t>
  </si>
  <si>
    <t xml:space="preserve">Banan (KSA JV)</t>
  </si>
  <si>
    <t xml:space="preserve">Riyadh, KSA</t>
  </si>
  <si>
    <t xml:space="preserve">Yamal + Joud (Oman)</t>
  </si>
  <si>
    <t xml:space="preserve">Oman</t>
  </si>
  <si>
    <t xml:space="preserve">Baghdad (Iraq)</t>
  </si>
  <si>
    <t xml:space="preserve">Baghdad</t>
  </si>
  <si>
    <t xml:space="preserve">Landbank / other</t>
  </si>
  <si>
    <t xml:space="preserve">Mixed Egypt</t>
  </si>
  <si>
    <t xml:space="preserve">BACKLOG (units sold, not yet delivered)</t>
  </si>
  <si>
    <t xml:space="preserve">Contracted value (EGP bn)</t>
  </si>
  <si>
    <t xml:space="preserve">Gross margin</t>
  </si>
  <si>
    <t xml:space="preserve">% still to collect</t>
  </si>
  <si>
    <t xml:space="preserve">Delivery period (yrs)</t>
  </si>
  <si>
    <t xml:space="preserve">Build period (yrs)</t>
  </si>
  <si>
    <t xml:space="preserve">Remaining construction cash %</t>
  </si>
  <si>
    <t xml:space="preserve">Execution prob</t>
  </si>
  <si>
    <t xml:space="preserve">PER-PROJECT UNIT MIX &amp; PRICING (current 2026 prices)</t>
  </si>
  <si>
    <t xml:space="preserve">Unit type</t>
  </si>
  <si>
    <t xml:space="preserve">BUA share %</t>
  </si>
  <si>
    <t xml:space="preserve">Avg area (m²)</t>
  </si>
  <si>
    <t xml:space="preserve">Price EGP/m²</t>
  </si>
  <si>
    <t xml:space="preserve">Constr cost EGP/m²</t>
  </si>
  <si>
    <t xml:space="preserve">Apartment</t>
  </si>
  <si>
    <t xml:space="preserve">Townhouse/Twin</t>
  </si>
  <si>
    <t xml:space="preserve">Villa</t>
  </si>
  <si>
    <t xml:space="preserve">Serviced Apt</t>
  </si>
  <si>
    <t xml:space="preserve">Office</t>
  </si>
  <si>
    <t xml:space="preserve">Retail/F&amp;B</t>
  </si>
  <si>
    <t xml:space="preserve">Chalet</t>
  </si>
  <si>
    <t xml:space="preserve">Townhouse</t>
  </si>
  <si>
    <t xml:space="preserve">PROJECT ECONOMICS — BOTTOM-UP (units × price ; m² × cost/m²)</t>
  </si>
  <si>
    <t xml:space="preserve">Live formulas off Assumptions. TMG economic share applied to value, construction and land. Unsold remainder only.</t>
  </si>
  <si>
    <t xml:space="preserve">Madinaty (core)  —  New Cairo</t>
  </si>
  <si>
    <t xml:space="preserve"># Units</t>
  </si>
  <si>
    <t xml:space="preserve">Avg area m²</t>
  </si>
  <si>
    <t xml:space="preserve">Sellable m²</t>
  </si>
  <si>
    <t xml:space="preserve">Gross value EGPbn</t>
  </si>
  <si>
    <t xml:space="preserve">Constr EGP/m²</t>
  </si>
  <si>
    <t xml:space="preserve">Constr cost EGPbn</t>
  </si>
  <si>
    <t xml:space="preserve">Subtotal (100% of unsold)</t>
  </si>
  <si>
    <t xml:space="preserve">Land (unsold portion)</t>
  </si>
  <si>
    <t xml:space="preserve">TMG economic share</t>
  </si>
  <si>
    <t xml:space="preserve">TMG revenue (GDV)</t>
  </si>
  <si>
    <t xml:space="preserve">TMG constr</t>
  </si>
  <si>
    <t xml:space="preserve">TMG land cost</t>
  </si>
  <si>
    <t xml:space="preserve">TMG gross profit</t>
  </si>
  <si>
    <t xml:space="preserve">margin</t>
  </si>
  <si>
    <t xml:space="preserve">The Spine  —  Madinaty / New Cairo</t>
  </si>
  <si>
    <t xml:space="preserve">Privado  —  Madinaty</t>
  </si>
  <si>
    <t xml:space="preserve">SouthMED  —  North Coast</t>
  </si>
  <si>
    <t xml:space="preserve">Noor City  —  East Cairo</t>
  </si>
  <si>
    <t xml:space="preserve">Celia  —  New Capital</t>
  </si>
  <si>
    <t xml:space="preserve">Al Rehab (remainder)  —  New Cairo</t>
  </si>
  <si>
    <t xml:space="preserve">Sharm Bay  —  Sharm El-Sheikh</t>
  </si>
  <si>
    <t xml:space="preserve">Banan (KSA JV)  —  Riyadh, KSA</t>
  </si>
  <si>
    <t xml:space="preserve">Yamal + Joud (Oman)  —  Oman</t>
  </si>
  <si>
    <t xml:space="preserve">Baghdad (Iraq)  —  Baghdad</t>
  </si>
  <si>
    <t xml:space="preserve">Landbank / other  —  Mixed Egypt</t>
  </si>
  <si>
    <t xml:space="preserve">PROJECT CASH FLOWS — annual, EGP bn (TMG share)</t>
  </si>
  <si>
    <t xml:space="preserve">Phased by the model engine from Assumptions (sales escalate; collections = down + instalments; revenue over build). Totals are live sums.</t>
  </si>
  <si>
    <t xml:space="preserve">CONSOLIDATED TOTALS (EGP bn)</t>
  </si>
  <si>
    <t xml:space="preserve">EGP bn</t>
  </si>
  <si>
    <t xml:space="preserve">2026</t>
  </si>
  <si>
    <t xml:space="preserve">2027</t>
  </si>
  <si>
    <t xml:space="preserve">2028</t>
  </si>
  <si>
    <t xml:space="preserve">2029</t>
  </si>
  <si>
    <t xml:space="preserve">2030</t>
  </si>
  <si>
    <t xml:space="preserve">2031</t>
  </si>
  <si>
    <t xml:space="preserve">2032</t>
  </si>
  <si>
    <t xml:space="preserve">2033</t>
  </si>
  <si>
    <t xml:space="preserve">2034</t>
  </si>
  <si>
    <t xml:space="preserve">2035</t>
  </si>
  <si>
    <t xml:space="preserve">2036</t>
  </si>
  <si>
    <t xml:space="preserve">2037</t>
  </si>
  <si>
    <t xml:space="preserve">2038</t>
  </si>
  <si>
    <t xml:space="preserve">2039</t>
  </si>
  <si>
    <t xml:space="preserve">2040</t>
  </si>
  <si>
    <t xml:space="preserve">2041</t>
  </si>
  <si>
    <t xml:space="preserve">2042</t>
  </si>
  <si>
    <t xml:space="preserve">2043</t>
  </si>
  <si>
    <t xml:space="preserve">2044</t>
  </si>
  <si>
    <t xml:space="preserve">2045</t>
  </si>
  <si>
    <t xml:space="preserve">2046</t>
  </si>
  <si>
    <t xml:space="preserve">2047</t>
  </si>
  <si>
    <t xml:space="preserve">2048</t>
  </si>
  <si>
    <t xml:space="preserve">New sales</t>
  </si>
  <si>
    <t xml:space="preserve">Collections</t>
  </si>
  <si>
    <t xml:space="preserve">Revenue recognized</t>
  </si>
  <si>
    <t xml:space="preserve">COGS</t>
  </si>
  <si>
    <t xml:space="preserve">Construction cash</t>
  </si>
  <si>
    <t xml:space="preserve">Land cash</t>
  </si>
  <si>
    <t xml:space="preserve">SG&amp;A</t>
  </si>
  <si>
    <t xml:space="preserve">Per-project detail (engine output; edit Assumptions then re-run engine to refresh):</t>
  </si>
  <si>
    <t xml:space="preserve">Backlog</t>
  </si>
  <si>
    <t xml:space="preserve">CONSOLIDATED INCOME STATEMENT — EGP bn</t>
  </si>
  <si>
    <t xml:space="preserve">POC revenue recognition; interest on opening gross debt; tax on positive PBT.</t>
  </si>
  <si>
    <t xml:space="preserve">Revenue</t>
  </si>
  <si>
    <t xml:space="preserve">Gross profit</t>
  </si>
  <si>
    <t xml:space="preserve">  gross margin</t>
  </si>
  <si>
    <t xml:space="preserve">Corporate overhead</t>
  </si>
  <si>
    <t xml:space="preserve">EBITDA</t>
  </si>
  <si>
    <t xml:space="preserve">  EBITDA margin</t>
  </si>
  <si>
    <t xml:space="preserve">D&amp;A</t>
  </si>
  <si>
    <t xml:space="preserve">EBIT</t>
  </si>
  <si>
    <t xml:space="preserve">  EBIT margin</t>
  </si>
  <si>
    <t xml:space="preserve">Interest expense</t>
  </si>
  <si>
    <t xml:space="preserve">Profit before tax</t>
  </si>
  <si>
    <t xml:space="preserve">Tax</t>
  </si>
  <si>
    <t xml:space="preserve">Net income</t>
  </si>
  <si>
    <t xml:space="preserve">  net margin</t>
  </si>
  <si>
    <t xml:space="preserve">DEBT &amp; INTEREST SCHEDULE — EGP bn</t>
  </si>
  <si>
    <t xml:space="preserve">Revolver funds cash deficits to a minimum-cash floor; interest on opening balance (no circularity).</t>
  </si>
  <si>
    <t xml:space="preserve">Beginning debt</t>
  </si>
  <si>
    <t xml:space="preserve">Construction</t>
  </si>
  <si>
    <t xml:space="preserve">Land</t>
  </si>
  <si>
    <t xml:space="preserve">Capex</t>
  </si>
  <si>
    <t xml:space="preserve">Tax paid</t>
  </si>
  <si>
    <t xml:space="preserve">Interest paid</t>
  </si>
  <si>
    <t xml:space="preserve">Pre-financing cash flow</t>
  </si>
  <si>
    <t xml:space="preserve">Beginning cash</t>
  </si>
  <si>
    <t xml:space="preserve">Cash before financing</t>
  </si>
  <si>
    <t xml:space="preserve">Draw / (repay)</t>
  </si>
  <si>
    <t xml:space="preserve">Ending debt</t>
  </si>
  <si>
    <t xml:space="preserve">Ending cash</t>
  </si>
  <si>
    <t xml:space="preserve">CONSOLIDATED CASH FLOW STATEMENT — EGP bn</t>
  </si>
  <si>
    <t xml:space="preserve">Cash basis; ties to Debt Schedule and Balance Sheet.</t>
  </si>
  <si>
    <t xml:space="preserve">Collections from customers</t>
  </si>
  <si>
    <t xml:space="preserve">Construction spend</t>
  </si>
  <si>
    <t xml:space="preserve">Land spend</t>
  </si>
  <si>
    <t xml:space="preserve">Cash flow from operations</t>
  </si>
  <si>
    <t xml:space="preserve">Cash flow from investing</t>
  </si>
  <si>
    <t xml:space="preserve">Debt draw / (repay)</t>
  </si>
  <si>
    <t xml:space="preserve">Cash flow from financing</t>
  </si>
  <si>
    <t xml:space="preserve">Net change in cash</t>
  </si>
  <si>
    <t xml:space="preserve">Balance check (=0)</t>
  </si>
  <si>
    <t xml:space="preserve">CONSOLIDATED BALANCE SHEET — EGP bn</t>
  </si>
  <si>
    <t xml:space="preserve">Opening composition calibrated to disclosed FY25 totals. Inventory carried at book, self-liquidating; land monetised above book flows to a revaluation reserve in equity. Identity holds: check = 0.</t>
  </si>
  <si>
    <t xml:space="preserve">ASSETS</t>
  </si>
  <si>
    <t xml:space="preserve">Cash</t>
  </si>
  <si>
    <t xml:space="preserve">Trade &amp; instalment receivables</t>
  </si>
  <si>
    <t xml:space="preserve">Inventory (land + WIP)</t>
  </si>
  <si>
    <t xml:space="preserve">Other assets (hotels PP&amp;E, investments)</t>
  </si>
  <si>
    <t xml:space="preserve">Total assets</t>
  </si>
  <si>
    <t xml:space="preserve">LIABILITIES</t>
  </si>
  <si>
    <t xml:space="preserve">Debt</t>
  </si>
  <si>
    <t xml:space="preserve">Customer advances (deferred rev)</t>
  </si>
  <si>
    <t xml:space="preserve">Payables</t>
  </si>
  <si>
    <t xml:space="preserve">Other liabilities (incl. contract liab.)</t>
  </si>
  <si>
    <t xml:space="preserve">Total liabilities</t>
  </si>
  <si>
    <t xml:space="preserve">EQUITY</t>
  </si>
  <si>
    <t xml:space="preserve">Share capital + retained earnings</t>
  </si>
  <si>
    <t xml:space="preserve">Total equity (incl. land revaluation reserve)</t>
  </si>
  <si>
    <t xml:space="preserve">Total liabilities &amp; equity</t>
  </si>
  <si>
    <t xml:space="preserve">(helper calculations)</t>
  </si>
  <si>
    <t xml:space="preserve">_cumRev</t>
  </si>
  <si>
    <t xml:space="preserve">_cumColl</t>
  </si>
  <si>
    <t xml:space="preserve">_NetContract</t>
  </si>
  <si>
    <t xml:space="preserve">_Inventory</t>
  </si>
  <si>
    <t xml:space="preserve">_totLifeRev</t>
  </si>
  <si>
    <t xml:space="preserve">_RevalReserve (cum. gain on land monetised above book; → equity, not P&amp;L)</t>
  </si>
  <si>
    <t xml:space="preserve">OPERATING SEGMENTS — HOSPITALITY vs RECURRING INCOME</t>
  </si>
  <si>
    <t xml:space="preserve">The two non-development businesses. Revenue x EBITDA margin DRIVES EBITDA, which feeds the valuation via Assumptions. Blue = input (revenue, margin, multiple, execution); black = computed; this sheet is the single source of truth for the segments.</t>
  </si>
  <si>
    <t xml:space="preserve">Metric (EGP bn unless noted)</t>
  </si>
  <si>
    <t xml:space="preserve">Hospitality</t>
  </si>
  <si>
    <t xml:space="preserve">Recurring</t>
  </si>
  <si>
    <t xml:space="preserve">Combined</t>
  </si>
  <si>
    <t xml:space="preserve">Revenue (FY est.)</t>
  </si>
  <si>
    <t xml:space="preserve">EBITDA margin</t>
  </si>
  <si>
    <t xml:space="preserve">EBITDA  (= revenue × margin)</t>
  </si>
  <si>
    <t xml:space="preserve">Capitalization multiple (×)</t>
  </si>
  <si>
    <t xml:space="preserve">EV — gross  (= EBITDA × mult)</t>
  </si>
  <si>
    <t xml:space="preserve">Execution probability</t>
  </si>
  <si>
    <t xml:space="preserve">Risk-adjusted EV</t>
  </si>
  <si>
    <t xml:space="preserve">Per share — gross (EGP)</t>
  </si>
  <si>
    <t xml:space="preserve">Per share — risk-adj (EGP)</t>
  </si>
  <si>
    <t xml:space="preserve">THE KEY DISTINCTION</t>
  </si>
  <si>
    <t xml:space="preserve">Dimension</t>
  </si>
  <si>
    <t xml:space="preserve">What it is</t>
  </si>
  <si>
    <t xml:space="preserve">Nine owned hotels (Four Seasons, Kempinski, Sofitel, Marriott…) via ICON (TMG 59.5%; ADQ/ADNEC 40.5%)</t>
  </si>
  <si>
    <t xml:space="preserve">Malls/retail, schools, sports clubs, utilities inside the cities (≈wholly owned)</t>
  </si>
  <si>
    <t xml:space="preserve">Revenue driver</t>
  </si>
  <si>
    <t xml:space="preserve">Room nights × ADR + F&amp;B + events</t>
  </si>
  <si>
    <t xml:space="preserve">Rents + tuition + memberships + fees</t>
  </si>
  <si>
    <t xml:space="preserve">Cyclicality</t>
  </si>
  <si>
    <t xml:space="preserve">High — tourism, FX, seasonal</t>
  </si>
  <si>
    <t xml:space="preserve">Low — contractual, sticky</t>
  </si>
  <si>
    <t xml:space="preserve">Currency</t>
  </si>
  <si>
    <t xml:space="preserve">Partly USD</t>
  </si>
  <si>
    <t xml:space="preserve">Mostly EGP</t>
  </si>
  <si>
    <t xml:space="preserve">Why the multiple</t>
  </si>
  <si>
    <t xml:space="preserve">6.5× — lower, for cyclicality</t>
  </si>
  <si>
    <t xml:space="preserve">7.5× — higher, an annuity premium</t>
  </si>
  <si>
    <t xml:space="preserve">Minority is deducted segment-by-segment, not as a blanket rate: hotels carry the 40.5% ADQ/ADNEC stake (ICON); the backlog carries the contribution-weighted average of each JV's actual partner share (block below); the Egyptian development and recurring streams are ~99.99%-owned and the cross-border JV projects are already at TMG economic share.</t>
  </si>
  <si>
    <t xml:space="preserve">BACKLOG MINORITY — contribution-weighted average of actual JV shares</t>
  </si>
  <si>
    <t xml:space="preserve">Project / geography</t>
  </si>
  <si>
    <t xml:space="preserve">Backlog (EGP bn)</t>
  </si>
  <si>
    <t xml:space="preserve">Minority %</t>
  </si>
  <si>
    <t xml:space="preserve">Partner share (EGP bn)</t>
  </si>
  <si>
    <t xml:space="preserve">Banan (KSA) — TMG 51%</t>
  </si>
  <si>
    <t xml:space="preserve">Oman (Yamal+Joud) — TMG 60%</t>
  </si>
  <si>
    <t xml:space="preserve">Iraq (Baghdad) — TMG 50%</t>
  </si>
  <si>
    <t xml:space="preserve">Egyptian development (≈99.99%-owned)</t>
  </si>
  <si>
    <t xml:space="preserve">Total backlog / weighted-avg minority</t>
  </si>
  <si>
    <t xml:space="preserve">VALUATION — CLEAN-SHEET FCFF DCF + SOTP BRIDGE</t>
  </si>
  <si>
    <t xml:space="preserve">Unlevered FCFF discounted at WACC, plus separately-valued segments, net cash and a minority-interest deduction. Flex WACC (Assumptions) to re-price.</t>
  </si>
  <si>
    <t xml:space="preserve">Unlevered FCFF</t>
  </si>
  <si>
    <t xml:space="preserve">Discount factor @ WACC</t>
  </si>
  <si>
    <t xml:space="preserve">PV of FCFF</t>
  </si>
  <si>
    <t xml:space="preserve">PV of explicit FCFF (Σ)</t>
  </si>
  <si>
    <t xml:space="preserve">(+) Terminal value — run-off basis (self-liquidating: none)</t>
  </si>
  <si>
    <t xml:space="preserve">Development EV (consolidated run-off DCF) — cross-check</t>
  </si>
  <si>
    <t xml:space="preserve">(+) Hospitality segment EV  (see Segments)</t>
  </si>
  <si>
    <t xml:space="preserve">(+) Recurring-income segment EV  (see Segments)</t>
  </si>
  <si>
    <t xml:space="preserve">Operating enterprise value</t>
  </si>
  <si>
    <t xml:space="preserve">(–) Minority — hotels 40.5% (cross-check)</t>
  </si>
  <si>
    <t xml:space="preserve">(+) Net cash × parent share</t>
  </si>
  <si>
    <t xml:space="preserve">Equity value — consolidated run-off DCF (cross-check)</t>
  </si>
  <si>
    <t xml:space="preserve">VALUE/SHARE — consolidated run-off DCF (cross-check)</t>
  </si>
  <si>
    <t xml:space="preserve">PER-PROJECT VALUE BRIDGE  (base WACC; applies execution probability)</t>
  </si>
  <si>
    <t xml:space="preserve">Component</t>
  </si>
  <si>
    <t xml:space="preserve">EV /share (EGP)</t>
  </si>
  <si>
    <t xml:space="preserve">Risk-adj /share (EGP)</t>
  </si>
  <si>
    <t xml:space="preserve">Terminal value (5% g)</t>
  </si>
  <si>
    <t xml:space="preserve">Hospitality segment  (see Segments)</t>
  </si>
  <si>
    <t xml:space="preserve">Recurring-income segment  (see Segments)</t>
  </si>
  <si>
    <t xml:space="preserve">Operating EV /share (Σ)</t>
  </si>
  <si>
    <t xml:space="preserve">(–) Minority — hotels 40.5% + backlog 7% (Banan)</t>
  </si>
  <si>
    <t xml:space="preserve">(+) Net cash × parent share /share</t>
  </si>
  <si>
    <t xml:space="preserve">EQUITY /share — SOTP bridge (gross / risk-adj)</t>
  </si>
  <si>
    <t xml:space="preserve">← gross / risk-adj</t>
  </si>
  <si>
    <t xml:space="preserve">VALUATION — THREE FUNDAMENTAL LENSES  (per share, EGP)</t>
  </si>
  <si>
    <t xml:space="preserve">Lens</t>
  </si>
  <si>
    <t xml:space="preserve">High / gross</t>
  </si>
  <si>
    <t xml:space="preserve">Central</t>
  </si>
  <si>
    <t xml:space="preserve">Low / floor</t>
  </si>
  <si>
    <t xml:space="preserve">Basis</t>
  </si>
  <si>
    <t xml:space="preserve">A. SOTP / RNAV  (PRIMARY)</t>
  </si>
  <si>
    <t xml:space="preserve">Per-project DCF (unsold remainder) + EBITDA segments + net cash (90% parent) − minority. Central = execution-weighted; floor = bear (cash+backlog+segments only).</t>
  </si>
  <si>
    <t xml:space="preserve">B. Consolidated run-off DCF  (cross-check)</t>
  </si>
  <si>
    <t xml:space="preserve">Whole-company unlevered FCFF, self-liquidating, NO perpetuity. Ties to SOTP gross — validates the primary method.</t>
  </si>
  <si>
    <t xml:space="preserve">C. NAV with holding-co discount  (street-style)</t>
  </si>
  <si>
    <t xml:space="preserve">Gross NAV × (1 − discount). 40% = current street; 45% = 7-yr average. Comparable basis to a published target price.</t>
  </si>
  <si>
    <t xml:space="preserve">Relative multiples  (memo)</t>
  </si>
  <si>
    <t xml:space="preserve">P/E ~13.9x trailing on attributable profit (developer peers ~6.4x); EV/backlog ~0.28x on the EGP 458bn book.</t>
  </si>
  <si>
    <t xml:space="preserve">REPRESENTATIVE FUNDAMENTAL VALUE</t>
  </si>
  <si>
    <t xml:space="preserve">Anchored on the execution-weighted SOTP/RNAV (the primary method for a diversified developer). Full range across lenses ~104–197; gross (full execution) 189.6; risk-adjusted central 147.1; bear floor 83.6.</t>
  </si>
  <si>
    <t xml:space="preserve">MONTE CARLO — ONE 10-FACTOR MACRO MODEL</t>
  </si>
  <si>
    <t xml:space="preserve">Five continuous factors compound daily; five discrete event factors fire once on a random session. 50,000 paths · seed 42 · anchor 14 Jun 2026. Factors adapted to TMGH (net cash, hotels, cross-border JVs).</t>
  </si>
  <si>
    <t xml:space="preserve">CORE INPUTS</t>
  </si>
  <si>
    <t xml:space="preserve">Anchor price (EGP, 17 Jun 2026 close)</t>
  </si>
  <si>
    <t xml:space="preserve">Horizon T+20 (sessions)</t>
  </si>
  <si>
    <t xml:space="preserve">Horizon T+60 (sessions)</t>
  </si>
  <si>
    <t xml:space="preserve">Idiosyncratic 3M volatility</t>
  </si>
  <si>
    <t xml:space="preserve">Reference level — support (EGP)</t>
  </si>
  <si>
    <t xml:space="preserve">R2 cluster (EGP)</t>
  </si>
  <si>
    <t xml:space="preserve">Consensus target (EGP)</t>
  </si>
  <si>
    <t xml:space="preserve">Structure-break level (EGP)</t>
  </si>
  <si>
    <t xml:space="preserve">Bear-construction boundary (EGP)</t>
  </si>
  <si>
    <t xml:space="preserve">TEN EXTERNAL FACTORS — CALIBRATION (3-month)</t>
  </si>
  <si>
    <t xml:space="preserve">Factor</t>
  </si>
  <si>
    <t xml:space="preserve">Type</t>
  </si>
  <si>
    <t xml:space="preserve">3M drift</t>
  </si>
  <si>
    <t xml:space="preserve">3M vol</t>
  </si>
  <si>
    <t xml:space="preserve">Event prob</t>
  </si>
  <si>
    <t xml:space="preserve">Impact mean</t>
  </si>
  <si>
    <t xml:space="preserve">Impact sd</t>
  </si>
  <si>
    <t xml:space="preserve">Channel</t>
  </si>
  <si>
    <t xml:space="preserve">1  CBE policy rate path</t>
  </si>
  <si>
    <t xml:space="preserve">continuous</t>
  </si>
  <si>
    <t xml:space="preserve">—</t>
  </si>
  <si>
    <t xml:space="preserve">discounting, softened by interest income on net cash</t>
  </si>
  <si>
    <t xml:space="preserve">2  EGP/USD exchange rate</t>
  </si>
  <si>
    <t xml:space="preserve">FX translation; USD hotel revenue + KSA/Oman</t>
  </si>
  <si>
    <t xml:space="preserve">3  Inflation (CPI)</t>
  </si>
  <si>
    <t xml:space="preserve">real-asset hedge bid, construction costs</t>
  </si>
  <si>
    <t xml:space="preserve">4  EGX30 &amp; foreign portfolio flows</t>
  </si>
  <si>
    <t xml:space="preserve">market beta, liquidity</t>
  </si>
  <si>
    <t xml:space="preserve">5  Brent oil / Gulf liquidity</t>
  </si>
  <si>
    <t xml:space="preserve">GCC buyer purchasing power; North Coast + KSA</t>
  </si>
  <si>
    <t xml:space="preserve">6  Geopolitical / regional security</t>
  </si>
  <si>
    <t xml:space="preserve">event</t>
  </si>
  <si>
    <t xml:space="preserve">risk-premium shock</t>
  </si>
  <si>
    <t xml:space="preserve">7  Cross-border JV inflows (KSA/Oman/Iraq)</t>
  </si>
  <si>
    <t xml:space="preserve">Banan/Oman/Baghdad funding &amp; sentiment</t>
  </si>
  <si>
    <t xml:space="preserve">8  Project launch &amp; sales execution</t>
  </si>
  <si>
    <t xml:space="preserve">SouthMED / The Spine / Noor — the catalyst</t>
  </si>
  <si>
    <t xml:space="preserve">9  Tourism &amp; hospitality demand</t>
  </si>
  <si>
    <t xml:space="preserve">nine owned hotels — a material lever</t>
  </si>
  <si>
    <t xml:space="preserve">10  Mortgage finance &amp; credit</t>
  </si>
  <si>
    <t xml:space="preserve">affordability, velocity</t>
  </si>
  <si>
    <t xml:space="preserve">FACTOR MOMENTS (live formulas)</t>
  </si>
  <si>
    <t xml:space="preserve">Expected 3M log-return  mu_3M</t>
  </si>
  <si>
    <t xml:space="preserve">3M variance (continuous + idio + events)</t>
  </si>
  <si>
    <t xml:space="preserve">3M volatility  sigma_3M</t>
  </si>
  <si>
    <t xml:space="preserve">Annualized volatility (x sqrt4)</t>
  </si>
  <si>
    <t xml:space="preserve">engine: 39.0% — daily-compounding exact; CSV realized ~36%</t>
  </si>
  <si>
    <t xml:space="preserve">PERCENTILES (EGP/share) — LIVE lognormal + ENGINE (simulated)</t>
  </si>
  <si>
    <t xml:space="preserve">Horizon</t>
  </si>
  <si>
    <t xml:space="preserve">5%</t>
  </si>
  <si>
    <t xml:space="preserve">25%</t>
  </si>
  <si>
    <t xml:space="preserve">Median</t>
  </si>
  <si>
    <t xml:space="preserve">75%</t>
  </si>
  <si>
    <t xml:space="preserve">95%</t>
  </si>
  <si>
    <t xml:space="preserve">Source</t>
  </si>
  <si>
    <t xml:space="preserve">T+20 — live (closed form)</t>
  </si>
  <si>
    <t xml:space="preserve">T+20 — engine (simulated)</t>
  </si>
  <si>
    <t xml:space="preserve">50k paths · seed 42 · 17 Jun 2026</t>
  </si>
  <si>
    <t xml:space="preserve">T+60 — live (closed form)</t>
  </si>
  <si>
    <t xml:space="preserve">T+60 — engine (simulated)</t>
  </si>
  <si>
    <t xml:space="preserve">Reconciliation — live vs engine T+60 median</t>
  </si>
  <si>
    <t xml:space="preserve">PROBABILITY ZONES at T+60</t>
  </si>
  <si>
    <t xml:space="preserve">live</t>
  </si>
  <si>
    <t xml:space="preserve">engine</t>
  </si>
  <si>
    <t xml:space="preserve">P(below support 92)</t>
  </si>
  <si>
    <t xml:space="preserve">P(support – R2 100)</t>
  </si>
  <si>
    <t xml:space="preserve">P(R2 – consensus 126)</t>
  </si>
  <si>
    <t xml:space="preserve">P(&gt;= consensus 126)</t>
  </si>
  <si>
    <t xml:space="preserve">LEVEL-TOUCH PROBABILITIES — P(touch level within horizon)</t>
  </si>
  <si>
    <t xml:space="preserve">Price level (EGP)</t>
  </si>
  <si>
    <t xml:space="preserve">by T+20</t>
  </si>
  <si>
    <t xml:space="preserve">by T+60</t>
  </si>
  <si>
    <t xml:space="preserve">Downside touch 88</t>
  </si>
  <si>
    <t xml:space="preserve">Downside touch 83</t>
  </si>
  <si>
    <t xml:space="preserve">Touch probabilities are simulation outputs (running path extrema), not closed-form; they exceed terminal-zone probabilities because a path may touch a level intra-horizon and retrace.</t>
  </si>
  <si>
    <t xml:space="preserve">SENSITIVITY — value per share, GROSS (EGP)</t>
  </si>
  <si>
    <t xml:space="preserve">Computed by the model engine across the two dominant levers. Source: bottom-up engine, base case in Assumptions.</t>
  </si>
  <si>
    <t xml:space="preserve">WACC  ×  Down-payment at contract</t>
  </si>
  <si>
    <t xml:space="preserve">Down-payment →</t>
  </si>
  <si>
    <t xml:space="preserve">WACC ↓</t>
  </si>
  <si>
    <t xml:space="preserve">WACC  ×  Selling-price level (×)</t>
  </si>
  <si>
    <t xml:space="preserve">Price level →</t>
  </si>
</sst>
</file>

<file path=xl/styles.xml><?xml version="1.0" encoding="utf-8"?>
<styleSheet xmlns="http://schemas.openxmlformats.org/spreadsheetml/2006/main">
  <numFmts count="17">
    <numFmt numFmtId="164" formatCode="General"/>
    <numFmt numFmtId="165" formatCode="0.0"/>
    <numFmt numFmtId="166" formatCode="0.0%"/>
    <numFmt numFmtId="167" formatCode="#,##0.0;\(#,##0.0\);\-"/>
    <numFmt numFmtId="168" formatCode="#,##0;\(#,##0\);\-"/>
    <numFmt numFmtId="169" formatCode="0.00%"/>
    <numFmt numFmtId="170" formatCode="0%"/>
    <numFmt numFmtId="171" formatCode="@"/>
    <numFmt numFmtId="172" formatCode="0.00"/>
    <numFmt numFmtId="173" formatCode="#,##0"/>
    <numFmt numFmtId="174" formatCode="#,##0.0"/>
    <numFmt numFmtId="175" formatCode="0.000"/>
    <numFmt numFmtId="176" formatCode="#,##0.00;\(#,##0.00\);\-"/>
    <numFmt numFmtId="177" formatCode="0.0000"/>
    <numFmt numFmtId="178" formatCode="0"/>
    <numFmt numFmtId="179" formatCode="#,##0.00"/>
    <numFmt numFmtId="180" formatCode="0.0\x"/>
  </numFmts>
  <fonts count="26">
    <font>
      <sz val="11"/>
      <color theme="1"/>
      <name val="Calibri"/>
      <family val="2"/>
      <charset val="1"/>
    </font>
    <font>
      <sz val="10"/>
      <name val="Arial"/>
      <family val="0"/>
    </font>
    <font>
      <sz val="10"/>
      <name val="Arial"/>
      <family val="0"/>
    </font>
    <font>
      <sz val="10"/>
      <name val="Arial"/>
      <family val="0"/>
    </font>
    <font>
      <b val="true"/>
      <sz val="13"/>
      <color rgb="FF1B5E5E"/>
      <name val="Arial"/>
      <family val="0"/>
      <charset val="1"/>
    </font>
    <font>
      <sz val="10"/>
      <name val="Arial"/>
      <family val="0"/>
      <charset val="1"/>
    </font>
    <font>
      <b val="true"/>
      <sz val="11"/>
      <color rgb="FF1B5E5E"/>
      <name val="Arial"/>
      <family val="0"/>
      <charset val="1"/>
    </font>
    <font>
      <b val="true"/>
      <sz val="10"/>
      <name val="Arial"/>
      <family val="0"/>
      <charset val="1"/>
    </font>
    <font>
      <b val="true"/>
      <sz val="13"/>
      <color rgb="FFFFFFFF"/>
      <name val="Arial"/>
      <family val="0"/>
      <charset val="1"/>
    </font>
    <font>
      <i val="true"/>
      <sz val="8"/>
      <color rgb="FFFFFFFF"/>
      <name val="Arial"/>
      <family val="0"/>
      <charset val="1"/>
    </font>
    <font>
      <b val="true"/>
      <sz val="10"/>
      <color rgb="FFFFFFFF"/>
      <name val="Arial"/>
      <family val="0"/>
      <charset val="1"/>
    </font>
    <font>
      <sz val="9"/>
      <color rgb="FF000000"/>
      <name val="Arial"/>
      <family val="0"/>
      <charset val="1"/>
    </font>
    <font>
      <b val="true"/>
      <sz val="9"/>
      <color rgb="FF000000"/>
      <name val="Arial"/>
      <family val="0"/>
      <charset val="1"/>
    </font>
    <font>
      <sz val="9"/>
      <color rgb="FF0000FF"/>
      <name val="Arial"/>
      <family val="0"/>
      <charset val="1"/>
    </font>
    <font>
      <sz val="10"/>
      <color rgb="FF1F4E79"/>
      <name val="Arial"/>
      <family val="0"/>
      <charset val="1"/>
    </font>
    <font>
      <sz val="10"/>
      <color rgb="FF1F6B3B"/>
      <name val="Arial"/>
      <family val="0"/>
      <charset val="1"/>
    </font>
    <font>
      <b val="true"/>
      <sz val="9"/>
      <color rgb="FFFFFFFF"/>
      <name val="Arial"/>
      <family val="0"/>
      <charset val="1"/>
    </font>
    <font>
      <sz val="9"/>
      <color rgb="FF008000"/>
      <name val="Arial"/>
      <family val="0"/>
      <charset val="1"/>
    </font>
    <font>
      <i val="true"/>
      <sz val="8"/>
      <color rgb="FF555555"/>
      <name val="Arial"/>
      <family val="0"/>
      <charset val="1"/>
    </font>
    <font>
      <sz val="10"/>
      <name val="Arial"/>
      <family val="2"/>
    </font>
    <font>
      <i val="true"/>
      <sz val="9"/>
      <color rgb="FF6B6B6B"/>
      <name val="Arial"/>
      <family val="0"/>
      <charset val="1"/>
    </font>
    <font>
      <b val="true"/>
      <sz val="12"/>
      <color rgb="FF0E3B36"/>
      <name val="Cambria"/>
      <family val="0"/>
      <charset val="1"/>
    </font>
    <font>
      <b val="true"/>
      <sz val="11"/>
      <color rgb="FFFFFFFF"/>
      <name val="Cambria"/>
      <family val="0"/>
      <charset val="1"/>
    </font>
    <font>
      <b val="true"/>
      <sz val="11"/>
      <name val="Cambria"/>
      <family val="0"/>
      <charset val="1"/>
    </font>
    <font>
      <b val="true"/>
      <sz val="11"/>
      <color rgb="FF0E3B36"/>
      <name val="Cambria"/>
      <family val="0"/>
      <charset val="1"/>
    </font>
    <font>
      <b val="true"/>
      <sz val="9"/>
      <color rgb="FF1B5E5E"/>
      <name val="Arial"/>
      <family val="0"/>
      <charset val="1"/>
    </font>
  </fonts>
  <fills count="9">
    <fill>
      <patternFill patternType="none"/>
    </fill>
    <fill>
      <patternFill patternType="gray125"/>
    </fill>
    <fill>
      <patternFill patternType="solid">
        <fgColor rgb="FF1B5E5E"/>
        <bgColor rgb="FF1F4E79"/>
      </patternFill>
    </fill>
    <fill>
      <patternFill patternType="solid">
        <fgColor rgb="FF2A8F8F"/>
        <bgColor rgb="FF1F6B3B"/>
      </patternFill>
    </fill>
    <fill>
      <patternFill patternType="solid">
        <fgColor rgb="FFE6F0F0"/>
        <bgColor rgb="FFDDEBF7"/>
      </patternFill>
    </fill>
    <fill>
      <patternFill patternType="solid">
        <fgColor rgb="FFFBFBE7"/>
        <bgColor rgb="FFFFFFFF"/>
      </patternFill>
    </fill>
    <fill>
      <patternFill patternType="solid">
        <fgColor rgb="FFDDEBF7"/>
        <bgColor rgb="FFE6F0F0"/>
      </patternFill>
    </fill>
    <fill>
      <patternFill patternType="solid">
        <fgColor rgb="FF0E3B36"/>
        <bgColor rgb="FF003300"/>
      </patternFill>
    </fill>
    <fill>
      <patternFill patternType="solid">
        <fgColor rgb="FFF2ECDD"/>
        <bgColor rgb="FFE6F0F0"/>
      </patternFill>
    </fill>
  </fills>
  <borders count="2">
    <border diagonalUp="false" diagonalDown="false">
      <left/>
      <right/>
      <top/>
      <bottom/>
      <diagonal/>
    </border>
    <border diagonalUp="false" diagonalDown="false">
      <left style="thin">
        <color rgb="FFBFD4D4"/>
      </left>
      <right style="thin">
        <color rgb="FFBFD4D4"/>
      </right>
      <top style="thin">
        <color rgb="FFBFD4D4"/>
      </top>
      <bottom style="thin">
        <color rgb="FFBFD4D4"/>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0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2" borderId="0" xfId="0" applyFont="true" applyBorder="false" applyAlignment="true" applyProtection="false">
      <alignment horizontal="general" vertical="bottom" textRotation="0" wrapText="false" indent="0" shrinkToFit="false"/>
      <protection locked="true" hidden="false"/>
    </xf>
    <xf numFmtId="164" fontId="0" fillId="2" borderId="0" xfId="0" applyFont="false" applyBorder="false" applyAlignment="true" applyProtection="false">
      <alignment horizontal="general" vertical="bottom" textRotation="0" wrapText="false" indent="0" shrinkToFit="false"/>
      <protection locked="true" hidden="false"/>
    </xf>
    <xf numFmtId="164" fontId="9" fillId="2" borderId="0" xfId="0" applyFont="true" applyBorder="false" applyAlignment="true" applyProtection="false">
      <alignment horizontal="general" vertical="bottom" textRotation="0" wrapText="false" indent="0" shrinkToFit="false"/>
      <protection locked="true" hidden="false"/>
    </xf>
    <xf numFmtId="164" fontId="10" fillId="3" borderId="0" xfId="0" applyFont="true" applyBorder="false" applyAlignment="true" applyProtection="false">
      <alignment horizontal="general" vertical="bottom" textRotation="0" wrapText="false" indent="0" shrinkToFit="false"/>
      <protection locked="true" hidden="false"/>
    </xf>
    <xf numFmtId="164" fontId="11" fillId="0" borderId="0" xfId="0" applyFont="true" applyBorder="false" applyAlignment="true" applyProtection="false">
      <alignment horizontal="general" vertical="bottom" textRotation="0" wrapText="false" indent="0" shrinkToFit="false"/>
      <protection locked="true" hidden="false"/>
    </xf>
    <xf numFmtId="165" fontId="7" fillId="4" borderId="0" xfId="0" applyFont="true" applyBorder="false" applyAlignment="true" applyProtection="false">
      <alignment horizontal="general" vertical="bottom" textRotation="0" wrapText="false" indent="0" shrinkToFit="false"/>
      <protection locked="true" hidden="false"/>
    </xf>
    <xf numFmtId="165" fontId="12" fillId="4" borderId="0" xfId="0" applyFont="true" applyBorder="false" applyAlignment="true" applyProtection="false">
      <alignment horizontal="general" vertical="bottom" textRotation="0" wrapText="false" indent="0" shrinkToFit="false"/>
      <protection locked="true" hidden="false"/>
    </xf>
    <xf numFmtId="165" fontId="13" fillId="5" borderId="0" xfId="0" applyFont="true" applyBorder="false" applyAlignment="true" applyProtection="false">
      <alignment horizontal="general" vertical="bottom" textRotation="0" wrapText="false" indent="0" shrinkToFit="false"/>
      <protection locked="true" hidden="false"/>
    </xf>
    <xf numFmtId="165" fontId="11" fillId="0" borderId="0" xfId="0" applyFont="true" applyBorder="false" applyAlignment="tru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6" fontId="11" fillId="0" borderId="0" xfId="0" applyFont="true" applyBorder="false" applyAlignment="true" applyProtection="false">
      <alignment horizontal="general" vertical="bottom" textRotation="0" wrapText="false" indent="0" shrinkToFit="false"/>
      <protection locked="true" hidden="false"/>
    </xf>
    <xf numFmtId="167" fontId="11" fillId="0" borderId="0" xfId="0" applyFont="true" applyBorder="false" applyAlignment="true" applyProtection="false">
      <alignment horizontal="general" vertical="bottom" textRotation="0" wrapText="false" indent="0" shrinkToFit="false"/>
      <protection locked="true" hidden="false"/>
    </xf>
    <xf numFmtId="168" fontId="13" fillId="5" borderId="0" xfId="0" applyFont="true" applyBorder="false" applyAlignment="true" applyProtection="false">
      <alignment horizontal="general" vertical="bottom" textRotation="0" wrapText="false" indent="0" shrinkToFit="false"/>
      <protection locked="true" hidden="false"/>
    </xf>
    <xf numFmtId="167" fontId="13" fillId="5" borderId="0" xfId="0" applyFont="true" applyBorder="false" applyAlignment="true" applyProtection="false">
      <alignment horizontal="general" vertical="bottom" textRotation="0" wrapText="false" indent="0" shrinkToFit="false"/>
      <protection locked="true" hidden="false"/>
    </xf>
    <xf numFmtId="166" fontId="13" fillId="5"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6" fontId="14" fillId="6" borderId="0" xfId="0" applyFont="true" applyBorder="false" applyAlignment="true" applyProtection="false">
      <alignment horizontal="general" vertical="bottom" textRotation="0" wrapText="false" indent="0" shrinkToFit="false"/>
      <protection locked="true" hidden="false"/>
    </xf>
    <xf numFmtId="169" fontId="5" fillId="0" borderId="0" xfId="0" applyFont="true" applyBorder="false" applyAlignment="true" applyProtection="false">
      <alignment horizontal="general" vertical="bottom" textRotation="0" wrapText="false" indent="0" shrinkToFit="false"/>
      <protection locked="true" hidden="false"/>
    </xf>
    <xf numFmtId="170" fontId="14" fillId="6" borderId="0" xfId="0" applyFont="true" applyBorder="false" applyAlignment="true" applyProtection="false">
      <alignment horizontal="general" vertical="bottom" textRotation="0" wrapText="false" indent="0" shrinkToFit="false"/>
      <protection locked="true" hidden="false"/>
    </xf>
    <xf numFmtId="165" fontId="15" fillId="5" borderId="0" xfId="0" applyFont="true" applyBorder="false" applyAlignment="true" applyProtection="false">
      <alignment horizontal="general" vertical="bottom" textRotation="0" wrapText="false" indent="0" shrinkToFit="false"/>
      <protection locked="true" hidden="false"/>
    </xf>
    <xf numFmtId="170" fontId="15" fillId="5" borderId="0" xfId="0" applyFont="true" applyBorder="false" applyAlignment="true" applyProtection="false">
      <alignment horizontal="general" vertical="bottom" textRotation="0" wrapText="false" indent="0" shrinkToFit="false"/>
      <protection locked="true" hidden="false"/>
    </xf>
    <xf numFmtId="164" fontId="16" fillId="3" borderId="0" xfId="0" applyFont="true" applyBorder="false" applyAlignment="true" applyProtection="false">
      <alignment horizontal="general" vertical="bottom" textRotation="0" wrapText="false" indent="0" shrinkToFit="false"/>
      <protection locked="true" hidden="false"/>
    </xf>
    <xf numFmtId="164" fontId="16" fillId="3" borderId="0" xfId="0" applyFont="true" applyBorder="false" applyAlignment="true" applyProtection="false">
      <alignment horizontal="center" vertical="bottom" textRotation="0" wrapText="false" indent="0" shrinkToFit="false"/>
      <protection locked="true" hidden="false"/>
    </xf>
    <xf numFmtId="167" fontId="13" fillId="5" borderId="0" xfId="0" applyFont="true" applyBorder="false" applyAlignment="true" applyProtection="false">
      <alignment horizontal="center" vertical="bottom" textRotation="0" wrapText="false" indent="0" shrinkToFit="false"/>
      <protection locked="true" hidden="false"/>
    </xf>
    <xf numFmtId="166" fontId="13" fillId="5" borderId="0" xfId="0" applyFont="true" applyBorder="false" applyAlignment="true" applyProtection="false">
      <alignment horizontal="center" vertical="bottom" textRotation="0" wrapText="false" indent="0" shrinkToFit="false"/>
      <protection locked="true" hidden="false"/>
    </xf>
    <xf numFmtId="168" fontId="13" fillId="5" borderId="0" xfId="0" applyFont="true" applyBorder="false" applyAlignment="true" applyProtection="false">
      <alignment horizontal="center" vertical="bottom" textRotation="0" wrapText="false" indent="0" shrinkToFit="false"/>
      <protection locked="true" hidden="false"/>
    </xf>
    <xf numFmtId="170" fontId="13" fillId="5" borderId="0" xfId="0" applyFont="true" applyBorder="false" applyAlignment="true" applyProtection="false">
      <alignment horizontal="center" vertical="bottom" textRotation="0" wrapText="false" indent="0" shrinkToFit="false"/>
      <protection locked="true" hidden="false"/>
    </xf>
    <xf numFmtId="171" fontId="13" fillId="5" borderId="0" xfId="0" applyFont="true" applyBorder="false" applyAlignment="true" applyProtection="false">
      <alignment horizontal="center" vertical="bottom" textRotation="0" wrapText="false" indent="0" shrinkToFit="false"/>
      <protection locked="true" hidden="false"/>
    </xf>
    <xf numFmtId="164" fontId="12" fillId="4" borderId="0" xfId="0" applyFont="true" applyBorder="false" applyAlignment="true" applyProtection="false">
      <alignment horizontal="general" vertical="bottom" textRotation="0" wrapText="false" indent="0" shrinkToFit="false"/>
      <protection locked="true" hidden="false"/>
    </xf>
    <xf numFmtId="164" fontId="17" fillId="0" borderId="0" xfId="0" applyFont="true" applyBorder="false" applyAlignment="true" applyProtection="false">
      <alignment horizontal="general" vertical="bottom" textRotation="0" wrapText="false" indent="0" shrinkToFit="false"/>
      <protection locked="true" hidden="false"/>
    </xf>
    <xf numFmtId="168" fontId="11" fillId="0" borderId="0" xfId="0" applyFont="true" applyBorder="false" applyAlignment="true" applyProtection="false">
      <alignment horizontal="general" vertical="bottom" textRotation="0" wrapText="false" indent="0" shrinkToFit="false"/>
      <protection locked="true" hidden="false"/>
    </xf>
    <xf numFmtId="168" fontId="17" fillId="0" borderId="0" xfId="0" applyFont="true" applyBorder="false" applyAlignment="true" applyProtection="false">
      <alignment horizontal="general" vertical="bottom" textRotation="0" wrapText="false" indent="0" shrinkToFit="false"/>
      <protection locked="true" hidden="false"/>
    </xf>
    <xf numFmtId="164" fontId="12" fillId="0" borderId="0" xfId="0" applyFont="true" applyBorder="false" applyAlignment="true" applyProtection="false">
      <alignment horizontal="general" vertical="bottom" textRotation="0" wrapText="false" indent="0" shrinkToFit="false"/>
      <protection locked="true" hidden="false"/>
    </xf>
    <xf numFmtId="168" fontId="12" fillId="0" borderId="0" xfId="0" applyFont="true" applyBorder="false" applyAlignment="true" applyProtection="false">
      <alignment horizontal="general" vertical="bottom" textRotation="0" wrapText="false" indent="0" shrinkToFit="false"/>
      <protection locked="true" hidden="false"/>
    </xf>
    <xf numFmtId="167" fontId="12" fillId="0" borderId="0" xfId="0" applyFont="true" applyBorder="false" applyAlignment="true" applyProtection="false">
      <alignment horizontal="general" vertical="bottom" textRotation="0" wrapText="false" indent="0" shrinkToFit="false"/>
      <protection locked="true" hidden="false"/>
    </xf>
    <xf numFmtId="170" fontId="17" fillId="0" borderId="0" xfId="0" applyFont="true" applyBorder="false" applyAlignment="true" applyProtection="false">
      <alignment horizontal="general" vertical="bottom" textRotation="0" wrapText="false" indent="0" shrinkToFit="false"/>
      <protection locked="true" hidden="false"/>
    </xf>
    <xf numFmtId="171" fontId="16" fillId="3" borderId="0" xfId="0" applyFont="true" applyBorder="false" applyAlignment="true" applyProtection="false">
      <alignment horizontal="center" vertical="bottom" textRotation="0" wrapText="false" indent="0" shrinkToFit="false"/>
      <protection locked="true" hidden="false"/>
    </xf>
    <xf numFmtId="164" fontId="18" fillId="0" borderId="0" xfId="0" applyFont="true" applyBorder="false" applyAlignment="true" applyProtection="false">
      <alignment horizontal="general" vertical="bottom" textRotation="0" wrapText="false" indent="0" shrinkToFit="false"/>
      <protection locked="true" hidden="false"/>
    </xf>
    <xf numFmtId="167" fontId="17" fillId="0" borderId="0" xfId="0" applyFont="tru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20" fillId="0" borderId="0" xfId="0" applyFont="true" applyBorder="false" applyAlignment="true" applyProtection="false">
      <alignment horizontal="general" vertical="top" textRotation="0" wrapText="true" indent="0" shrinkToFit="false"/>
      <protection locked="true" hidden="false"/>
    </xf>
    <xf numFmtId="164" fontId="10" fillId="2" borderId="1" xfId="0" applyFont="true" applyBorder="true" applyAlignment="true" applyProtection="false">
      <alignment horizontal="general" vertical="bottom" textRotation="0" wrapText="false" indent="0" shrinkToFit="false"/>
      <protection locked="true" hidden="false"/>
    </xf>
    <xf numFmtId="164" fontId="10" fillId="2" borderId="1" xfId="0" applyFont="true" applyBorder="true" applyAlignment="true" applyProtection="false">
      <alignment horizontal="center" vertical="bottom" textRotation="0" wrapText="false" indent="0" shrinkToFit="false"/>
      <protection locked="true" hidden="false"/>
    </xf>
    <xf numFmtId="164" fontId="5" fillId="0" borderId="1" xfId="0" applyFont="true" applyBorder="true" applyAlignment="true" applyProtection="false">
      <alignment horizontal="general" vertical="bottom" textRotation="0" wrapText="false" indent="0" shrinkToFit="false"/>
      <protection locked="true" hidden="false"/>
    </xf>
    <xf numFmtId="165" fontId="14" fillId="6" borderId="1" xfId="0" applyFont="true" applyBorder="true" applyAlignment="true" applyProtection="false">
      <alignment horizontal="center" vertical="bottom" textRotation="0" wrapText="false" indent="0" shrinkToFit="false"/>
      <protection locked="true" hidden="false"/>
    </xf>
    <xf numFmtId="165" fontId="14" fillId="0" borderId="1" xfId="0" applyFont="true" applyBorder="true" applyAlignment="true" applyProtection="false">
      <alignment horizontal="center" vertical="bottom" textRotation="0" wrapText="false" indent="0" shrinkToFit="false"/>
      <protection locked="true" hidden="false"/>
    </xf>
    <xf numFmtId="166" fontId="14" fillId="6" borderId="1" xfId="0" applyFont="true" applyBorder="true" applyAlignment="true" applyProtection="false">
      <alignment horizontal="center" vertical="bottom" textRotation="0" wrapText="false" indent="0" shrinkToFit="false"/>
      <protection locked="true" hidden="false"/>
    </xf>
    <xf numFmtId="166" fontId="14" fillId="0" borderId="1" xfId="0" applyFont="true" applyBorder="true" applyAlignment="true" applyProtection="false">
      <alignment horizontal="center" vertical="bottom" textRotation="0" wrapText="false" indent="0" shrinkToFit="false"/>
      <protection locked="true" hidden="false"/>
    </xf>
    <xf numFmtId="172" fontId="5" fillId="0" borderId="1" xfId="0" applyFont="true" applyBorder="true" applyAlignment="true" applyProtection="false">
      <alignment horizontal="center" vertical="bottom" textRotation="0" wrapText="false" indent="0" shrinkToFit="false"/>
      <protection locked="true" hidden="false"/>
    </xf>
    <xf numFmtId="165" fontId="5" fillId="0" borderId="1" xfId="0" applyFont="true" applyBorder="true" applyAlignment="true" applyProtection="false">
      <alignment horizontal="center" vertical="bottom" textRotation="0" wrapText="false" indent="0" shrinkToFit="false"/>
      <protection locked="true" hidden="false"/>
    </xf>
    <xf numFmtId="170" fontId="14" fillId="6" borderId="1" xfId="0" applyFont="true" applyBorder="true" applyAlignment="true" applyProtection="false">
      <alignment horizontal="center" vertical="bottom" textRotation="0" wrapText="false" indent="0" shrinkToFit="false"/>
      <protection locked="true" hidden="false"/>
    </xf>
    <xf numFmtId="170" fontId="14" fillId="0" borderId="1" xfId="0" applyFont="true" applyBorder="true" applyAlignment="true" applyProtection="false">
      <alignment horizontal="center" vertical="bottom" textRotation="0" wrapText="false" indent="0" shrinkToFit="false"/>
      <protection locked="true" hidden="false"/>
    </xf>
    <xf numFmtId="164" fontId="7" fillId="0" borderId="1" xfId="0" applyFont="true" applyBorder="true" applyAlignment="true" applyProtection="false">
      <alignment horizontal="general" vertical="bottom" textRotation="0" wrapText="false" indent="0" shrinkToFit="false"/>
      <protection locked="true" hidden="false"/>
    </xf>
    <xf numFmtId="165" fontId="7" fillId="0" borderId="1" xfId="0" applyFont="true" applyBorder="true" applyAlignment="true" applyProtection="false">
      <alignment horizontal="center" vertical="bottom" textRotation="0" wrapText="false" indent="0" shrinkToFit="false"/>
      <protection locked="true" hidden="false"/>
    </xf>
    <xf numFmtId="172" fontId="7" fillId="0" borderId="1" xfId="0" applyFont="true" applyBorder="true" applyAlignment="true" applyProtection="false">
      <alignment horizontal="center" vertical="bottom" textRotation="0" wrapText="fals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general" vertical="top" textRotation="0" wrapText="true" indent="0" shrinkToFit="false"/>
      <protection locked="true" hidden="false"/>
    </xf>
    <xf numFmtId="164" fontId="5" fillId="0" borderId="1" xfId="0" applyFont="true" applyBorder="true" applyAlignment="true" applyProtection="false">
      <alignment horizontal="general" vertical="top" textRotation="0" wrapText="true" indent="0" shrinkToFit="false"/>
      <protection locked="true" hidden="false"/>
    </xf>
    <xf numFmtId="164" fontId="20" fillId="0" borderId="0" xfId="0" applyFont="true" applyBorder="tru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4" fontId="10" fillId="2" borderId="0" xfId="0" applyFont="true" applyBorder="false" applyAlignment="true" applyProtection="false">
      <alignment horizontal="general" vertical="bottom" textRotation="0" wrapText="false" indent="0" shrinkToFit="false"/>
      <protection locked="true" hidden="false"/>
    </xf>
    <xf numFmtId="173" fontId="14" fillId="6" borderId="0" xfId="0" applyFont="true" applyBorder="false" applyAlignment="true" applyProtection="false">
      <alignment horizontal="general" vertical="bottom" textRotation="0" wrapText="false" indent="0" shrinkToFit="false"/>
      <protection locked="true" hidden="false"/>
    </xf>
    <xf numFmtId="174" fontId="5" fillId="0" borderId="0" xfId="0" applyFont="true" applyBorder="false" applyAlignment="true" applyProtection="false">
      <alignment horizontal="general" vertical="bottom" textRotation="0" wrapText="false" indent="0" shrinkToFit="false"/>
      <protection locked="true" hidden="false"/>
    </xf>
    <xf numFmtId="173" fontId="5" fillId="0" borderId="0" xfId="0" applyFont="true" applyBorder="false" applyAlignment="true" applyProtection="false">
      <alignment horizontal="general" vertical="bottom" textRotation="0" wrapText="false" indent="0" shrinkToFit="false"/>
      <protection locked="true" hidden="false"/>
    </xf>
    <xf numFmtId="170" fontId="5" fillId="0" borderId="0" xfId="0" applyFont="true" applyBorder="false" applyAlignment="true" applyProtection="false">
      <alignment horizontal="general" vertical="bottom" textRotation="0" wrapText="false" indent="0" shrinkToFit="false"/>
      <protection locked="true" hidden="false"/>
    </xf>
    <xf numFmtId="173" fontId="7" fillId="0" borderId="0" xfId="0" applyFont="true" applyBorder="false" applyAlignment="true" applyProtection="false">
      <alignment horizontal="general" vertical="bottom" textRotation="0" wrapText="false" indent="0" shrinkToFit="false"/>
      <protection locked="true" hidden="false"/>
    </xf>
    <xf numFmtId="169" fontId="7" fillId="0" borderId="0" xfId="0" applyFont="true" applyBorder="false" applyAlignment="true" applyProtection="false">
      <alignment horizontal="general" vertical="bottom" textRotation="0" wrapText="false" indent="0" shrinkToFit="false"/>
      <protection locked="true" hidden="false"/>
    </xf>
    <xf numFmtId="174" fontId="7" fillId="0" borderId="0" xfId="0" applyFont="true" applyBorder="false" applyAlignment="true" applyProtection="false">
      <alignment horizontal="general" vertical="bottom" textRotation="0" wrapText="false" indent="0" shrinkToFit="false"/>
      <protection locked="true" hidden="false"/>
    </xf>
    <xf numFmtId="175" fontId="11" fillId="0" borderId="0" xfId="0" applyFont="true" applyBorder="false" applyAlignment="true" applyProtection="false">
      <alignment horizontal="general" vertical="bottom" textRotation="0" wrapText="false" indent="0" shrinkToFit="false"/>
      <protection locked="true" hidden="false"/>
    </xf>
    <xf numFmtId="167" fontId="12" fillId="4" borderId="0" xfId="0" applyFont="true" applyBorder="false" applyAlignment="true" applyProtection="false">
      <alignment horizontal="general" vertical="bottom" textRotation="0" wrapText="false" indent="0" shrinkToFit="false"/>
      <protection locked="true" hidden="false"/>
    </xf>
    <xf numFmtId="176" fontId="10" fillId="2" borderId="0" xfId="0" applyFont="true" applyBorder="false" applyAlignment="true" applyProtection="false">
      <alignment horizontal="general" vertical="bottom" textRotation="0" wrapText="false" indent="0" shrinkToFit="false"/>
      <protection locked="true" hidden="false"/>
    </xf>
    <xf numFmtId="176" fontId="13" fillId="5" borderId="0" xfId="0" applyFont="true" applyBorder="false" applyAlignment="true" applyProtection="false">
      <alignment horizontal="general" vertical="bottom" textRotation="0" wrapText="false" indent="0" shrinkToFit="false"/>
      <protection locked="true" hidden="false"/>
    </xf>
    <xf numFmtId="176" fontId="11" fillId="0" borderId="0" xfId="0" applyFont="true" applyBorder="false" applyAlignment="true" applyProtection="false">
      <alignment horizontal="general" vertical="bottom" textRotation="0" wrapText="false" indent="0" shrinkToFit="false"/>
      <protection locked="true" hidden="false"/>
    </xf>
    <xf numFmtId="176" fontId="12" fillId="0" borderId="0" xfId="0" applyFont="true" applyBorder="false" applyAlignment="true" applyProtection="false">
      <alignment horizontal="general" vertical="bottom" textRotation="0" wrapText="false" indent="0" shrinkToFit="false"/>
      <protection locked="true" hidden="false"/>
    </xf>
    <xf numFmtId="172" fontId="5" fillId="0" borderId="0" xfId="0" applyFont="true" applyBorder="false" applyAlignment="true" applyProtection="false">
      <alignment horizontal="general" vertical="bottom" textRotation="0" wrapText="false" indent="0" shrinkToFit="false"/>
      <protection locked="true" hidden="false"/>
    </xf>
    <xf numFmtId="164" fontId="18" fillId="2" borderId="0" xfId="0" applyFont="true" applyBorder="false" applyAlignment="true" applyProtection="false">
      <alignment horizontal="general" vertical="bottom" textRotation="0" wrapText="false" indent="0" shrinkToFit="false"/>
      <protection locked="true" hidden="false"/>
    </xf>
    <xf numFmtId="164" fontId="21" fillId="0" borderId="0" xfId="0" applyFont="true" applyBorder="false" applyAlignment="false" applyProtection="false">
      <alignment horizontal="general" vertical="bottom" textRotation="0" wrapText="false" indent="0" shrinkToFit="false"/>
      <protection locked="true" hidden="false"/>
    </xf>
    <xf numFmtId="164" fontId="22" fillId="7" borderId="0" xfId="0" applyFont="true" applyBorder="false" applyAlignment="false" applyProtection="false">
      <alignment horizontal="general" vertical="bottom" textRotation="0" wrapText="false" indent="0" shrinkToFit="false"/>
      <protection locked="true" hidden="false"/>
    </xf>
    <xf numFmtId="164" fontId="23" fillId="0" borderId="0" xfId="0" applyFont="true" applyBorder="false" applyAlignment="false" applyProtection="false">
      <alignment horizontal="general" vertical="bottom" textRotation="0" wrapText="false" indent="0" shrinkToFit="false"/>
      <protection locked="true" hidden="false"/>
    </xf>
    <xf numFmtId="165" fontId="23" fillId="0" borderId="0" xfId="0" applyFont="true" applyBorder="false" applyAlignment="false" applyProtection="false">
      <alignment horizontal="general" vertical="bottom" textRotation="0" wrapText="false" indent="0" shrinkToFit="false"/>
      <protection locked="true" hidden="false"/>
    </xf>
    <xf numFmtId="164" fontId="23" fillId="0" borderId="0" xfId="0" applyFont="true" applyBorder="false" applyAlignment="true" applyProtection="false">
      <alignment horizontal="general" vertical="top" textRotation="0" wrapText="true" indent="0" shrinkToFit="false"/>
      <protection locked="true" hidden="false"/>
    </xf>
    <xf numFmtId="164" fontId="0" fillId="0" borderId="0" xfId="0" applyFont="true" applyBorder="false" applyAlignment="true" applyProtection="false">
      <alignment horizontal="general" vertical="top" textRotation="0" wrapText="true" indent="0" shrinkToFit="false"/>
      <protection locked="true" hidden="false"/>
    </xf>
    <xf numFmtId="164" fontId="24" fillId="8" borderId="0" xfId="0" applyFont="true" applyBorder="false" applyAlignment="false" applyProtection="false">
      <alignment horizontal="general" vertical="bottom" textRotation="0" wrapText="false" indent="0" shrinkToFit="false"/>
      <protection locked="true" hidden="false"/>
    </xf>
    <xf numFmtId="165" fontId="24" fillId="8" borderId="0" xfId="0" applyFont="true" applyBorder="false" applyAlignment="false" applyProtection="false">
      <alignment horizontal="general" vertical="bottom" textRotation="0" wrapText="false" indent="0" shrinkToFit="false"/>
      <protection locked="true" hidden="false"/>
    </xf>
    <xf numFmtId="164" fontId="24" fillId="8" borderId="0" xfId="0" applyFont="true" applyBorder="false" applyAlignment="true" applyProtection="false">
      <alignment horizontal="general" vertical="top" textRotation="0" wrapText="true" indent="0" shrinkToFit="false"/>
      <protection locked="true" hidden="false"/>
    </xf>
    <xf numFmtId="172" fontId="14" fillId="6" borderId="0" xfId="0" applyFont="true" applyBorder="false" applyAlignment="true" applyProtection="false">
      <alignment horizontal="general" vertical="bottom" textRotation="0" wrapText="false" indent="0" shrinkToFit="false"/>
      <protection locked="true" hidden="false"/>
    </xf>
    <xf numFmtId="175" fontId="14" fillId="6" borderId="0" xfId="0" applyFont="true" applyBorder="false" applyAlignment="tru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center" vertical="bottom" textRotation="0" wrapText="false" indent="0" shrinkToFit="false"/>
      <protection locked="true" hidden="false"/>
    </xf>
    <xf numFmtId="177" fontId="7" fillId="0" borderId="0" xfId="0" applyFont="true" applyBorder="false" applyAlignment="true" applyProtection="false">
      <alignment horizontal="general" vertical="bottom" textRotation="0" wrapText="false" indent="0" shrinkToFit="false"/>
      <protection locked="true" hidden="false"/>
    </xf>
    <xf numFmtId="166" fontId="7" fillId="0" borderId="0" xfId="0" applyFont="true" applyBorder="false" applyAlignment="true" applyProtection="false">
      <alignment horizontal="general" vertical="bottom" textRotation="0" wrapText="false" indent="0" shrinkToFit="false"/>
      <protection locked="true" hidden="false"/>
    </xf>
    <xf numFmtId="164" fontId="20" fillId="0" borderId="0" xfId="0" applyFont="true" applyBorder="false" applyAlignment="true" applyProtection="false">
      <alignment horizontal="general" vertical="bottom" textRotation="0" wrapText="false" indent="0" shrinkToFit="false"/>
      <protection locked="true" hidden="false"/>
    </xf>
    <xf numFmtId="164" fontId="20" fillId="0" borderId="1" xfId="0" applyFont="true" applyBorder="true" applyAlignment="true" applyProtection="false">
      <alignment horizontal="general" vertical="bottom" textRotation="0" wrapText="false" indent="0" shrinkToFit="false"/>
      <protection locked="true" hidden="false"/>
    </xf>
    <xf numFmtId="170" fontId="5" fillId="0" borderId="0" xfId="0" applyFont="true" applyBorder="false" applyAlignment="true" applyProtection="false">
      <alignment horizontal="center" vertical="bottom" textRotation="0" wrapText="false" indent="0" shrinkToFit="false"/>
      <protection locked="true" hidden="false"/>
    </xf>
    <xf numFmtId="170" fontId="7" fillId="0" borderId="0" xfId="0" applyFont="true" applyBorder="false" applyAlignment="true" applyProtection="false">
      <alignment horizontal="center" vertical="bottom" textRotation="0" wrapText="false" indent="0" shrinkToFit="false"/>
      <protection locked="true" hidden="false"/>
    </xf>
    <xf numFmtId="178" fontId="5" fillId="0" borderId="1" xfId="0" applyFont="true" applyBorder="true" applyAlignment="true" applyProtection="false">
      <alignment horizontal="general" vertical="bottom" textRotation="0" wrapText="false" indent="0" shrinkToFit="false"/>
      <protection locked="true" hidden="false"/>
    </xf>
    <xf numFmtId="170" fontId="5" fillId="0" borderId="1" xfId="0" applyFont="true" applyBorder="true" applyAlignment="true" applyProtection="false">
      <alignment horizontal="center" vertical="bottom" textRotation="0" wrapText="false" indent="0" shrinkToFit="false"/>
      <protection locked="true" hidden="false"/>
    </xf>
    <xf numFmtId="170" fontId="16" fillId="3" borderId="0" xfId="0" applyFont="true" applyBorder="false" applyAlignment="true" applyProtection="false">
      <alignment horizontal="center" vertical="bottom" textRotation="0" wrapText="false" indent="0" shrinkToFit="false"/>
      <protection locked="true" hidden="false"/>
    </xf>
    <xf numFmtId="166" fontId="16" fillId="3" borderId="0" xfId="0" applyFont="true" applyBorder="false" applyAlignment="true" applyProtection="false">
      <alignment horizontal="center" vertical="bottom" textRotation="0" wrapText="false" indent="0" shrinkToFit="false"/>
      <protection locked="true" hidden="false"/>
    </xf>
    <xf numFmtId="179" fontId="11" fillId="0" borderId="0" xfId="0" applyFont="true" applyBorder="false" applyAlignment="true" applyProtection="false">
      <alignment horizontal="center" vertical="bottom" textRotation="0" wrapText="false" indent="0" shrinkToFit="false"/>
      <protection locked="true" hidden="false"/>
    </xf>
    <xf numFmtId="179" fontId="25" fillId="4" borderId="0" xfId="0" applyFont="true" applyBorder="false" applyAlignment="true" applyProtection="false">
      <alignment horizontal="center" vertical="bottom" textRotation="0" wrapText="false" indent="0" shrinkToFit="false"/>
      <protection locked="true" hidden="false"/>
    </xf>
    <xf numFmtId="180" fontId="16" fillId="3" borderId="0" xfId="0" applyFont="true" applyBorder="fals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B5E5E"/>
      <rgbColor rgb="FFBFD4D4"/>
      <rgbColor rgb="FF808080"/>
      <rgbColor rgb="FF9999FF"/>
      <rgbColor rgb="FF993366"/>
      <rgbColor rgb="FFFBFBE7"/>
      <rgbColor rgb="FFDDEBF7"/>
      <rgbColor rgb="FF660066"/>
      <rgbColor rgb="FFFF8080"/>
      <rgbColor rgb="FF0066CC"/>
      <rgbColor rgb="FFCCCCFF"/>
      <rgbColor rgb="FF000080"/>
      <rgbColor rgb="FFFF00FF"/>
      <rgbColor rgb="FFFFFF00"/>
      <rgbColor rgb="FF00FFFF"/>
      <rgbColor rgb="FF800080"/>
      <rgbColor rgb="FF800000"/>
      <rgbColor rgb="FF1F6B3B"/>
      <rgbColor rgb="FF0000FF"/>
      <rgbColor rgb="FF00CCFF"/>
      <rgbColor rgb="FFE6F0F0"/>
      <rgbColor rgb="FFF2ECDD"/>
      <rgbColor rgb="FFFFFF99"/>
      <rgbColor rgb="FF99CCFF"/>
      <rgbColor rgb="FFFF99CC"/>
      <rgbColor rgb="FFCC99FF"/>
      <rgbColor rgb="FFFFCC99"/>
      <rgbColor rgb="FF3366FF"/>
      <rgbColor rgb="FF33CCCC"/>
      <rgbColor rgb="FF99CC00"/>
      <rgbColor rgb="FFFFCC00"/>
      <rgbColor rgb="FFFF9900"/>
      <rgbColor rgb="FFFF6600"/>
      <rgbColor rgb="FF6B6B6B"/>
      <rgbColor rgb="FF969696"/>
      <rgbColor rgb="FF0E3B36"/>
      <rgbColor rgb="FF2A8F8F"/>
      <rgbColor rgb="FF003300"/>
      <rgbColor rgb="FF333300"/>
      <rgbColor rgb="FF993300"/>
      <rgbColor rgb="FF993366"/>
      <rgbColor rgb="FF1F4E79"/>
      <rgbColor rgb="FF555555"/>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1.xml.rels><?xml version="1.0" encoding="UTF-8"?>
<Relationships xmlns="http://schemas.openxmlformats.org/package/2006/relationships"><Relationship Id="rId1" Type="http://schemas.openxmlformats.org/officeDocument/2006/relationships/comments" Target="../comments11.xml"/><Relationship Id="rId2" Type="http://schemas.openxmlformats.org/officeDocument/2006/relationships/vmlDrawing" Target="../drawings/vmlDrawing2.vml"/>
</Relationships>
</file>

<file path=xl/worksheets/_rels/sheet9.xml.rels><?xml version="1.0" encoding="UTF-8"?>
<Relationships xmlns="http://schemas.openxmlformats.org/package/2006/relationships"><Relationship Id="rId1" Type="http://schemas.openxmlformats.org/officeDocument/2006/relationships/comments" Target="../comments9.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5"/>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118"/>
  </cols>
  <sheetData>
    <row r="1" customFormat="false" ht="15.75" hidden="false" customHeight="true" outlineLevel="0" collapsed="false">
      <c r="A1" s="2" t="s">
        <v>0</v>
      </c>
    </row>
    <row r="2" customFormat="false" ht="7.5" hidden="false" customHeight="true" outlineLevel="0" collapsed="false">
      <c r="A2" s="3"/>
    </row>
    <row r="3" customFormat="false" ht="15.75" hidden="false" customHeight="true" outlineLevel="0" collapsed="false">
      <c r="A3" s="4" t="s">
        <v>1</v>
      </c>
    </row>
    <row r="4" customFormat="false" ht="30" hidden="false" customHeight="true" outlineLevel="0" collapsed="false">
      <c r="A4" s="3" t="s">
        <v>2</v>
      </c>
    </row>
    <row r="5" customFormat="false" ht="7.5" hidden="false" customHeight="true" outlineLevel="0" collapsed="false">
      <c r="A5" s="3"/>
    </row>
    <row r="6" customFormat="false" ht="15.75" hidden="false" customHeight="true" outlineLevel="0" collapsed="false">
      <c r="A6" s="4" t="s">
        <v>3</v>
      </c>
    </row>
    <row r="7" customFormat="false" ht="30" hidden="false" customHeight="true" outlineLevel="0" collapsed="false">
      <c r="A7" s="3" t="s">
        <v>4</v>
      </c>
    </row>
    <row r="8" customFormat="false" ht="7.5" hidden="false" customHeight="true" outlineLevel="0" collapsed="false">
      <c r="A8" s="3"/>
    </row>
    <row r="9" customFormat="false" ht="15.75" hidden="false" customHeight="true" outlineLevel="0" collapsed="false">
      <c r="A9" s="4" t="s">
        <v>5</v>
      </c>
    </row>
    <row r="10" customFormat="false" ht="30" hidden="false" customHeight="true" outlineLevel="0" collapsed="false">
      <c r="A10" s="3" t="s">
        <v>6</v>
      </c>
    </row>
    <row r="11" customFormat="false" ht="7.5" hidden="false" customHeight="true" outlineLevel="0" collapsed="false">
      <c r="A11" s="3"/>
    </row>
    <row r="12" customFormat="false" ht="15.75" hidden="false" customHeight="true" outlineLevel="0" collapsed="false">
      <c r="A12" s="4" t="s">
        <v>7</v>
      </c>
    </row>
    <row r="13" customFormat="false" ht="15.75" hidden="false" customHeight="true" outlineLevel="0" collapsed="false">
      <c r="A13" s="5" t="s">
        <v>8</v>
      </c>
    </row>
    <row r="14" customFormat="false" ht="7.5" hidden="false" customHeight="true" outlineLevel="0" collapsed="false">
      <c r="A14" s="3"/>
    </row>
    <row r="15" customFormat="false" ht="15.75" hidden="false" customHeight="true" outlineLevel="0" collapsed="false">
      <c r="A15" s="4" t="s">
        <v>9</v>
      </c>
    </row>
    <row r="16" customFormat="false" ht="30" hidden="false" customHeight="true" outlineLevel="0" collapsed="false">
      <c r="A16" s="3" t="s">
        <v>10</v>
      </c>
    </row>
    <row r="17" customFormat="false" ht="7.5" hidden="false" customHeight="true" outlineLevel="0" collapsed="false">
      <c r="A17" s="3"/>
    </row>
    <row r="18" customFormat="false" ht="15.75" hidden="false" customHeight="true" outlineLevel="0" collapsed="false">
      <c r="A18" s="4" t="s">
        <v>11</v>
      </c>
    </row>
    <row r="19" customFormat="false" ht="30" hidden="false" customHeight="true" outlineLevel="0" collapsed="false">
      <c r="A19" s="3" t="s">
        <v>12</v>
      </c>
    </row>
    <row r="20" customFormat="false" ht="7.5" hidden="false" customHeight="true" outlineLevel="0" collapsed="false">
      <c r="A20" s="3"/>
    </row>
    <row r="21" customFormat="false" ht="15.75" hidden="false" customHeight="true" outlineLevel="0" collapsed="false">
      <c r="A21" s="4" t="s">
        <v>13</v>
      </c>
    </row>
    <row r="22" customFormat="false" ht="30" hidden="false" customHeight="true" outlineLevel="0" collapsed="false">
      <c r="A22" s="3" t="s">
        <v>14</v>
      </c>
    </row>
    <row r="23" customFormat="false" ht="7.5" hidden="false" customHeight="true" outlineLevel="0" collapsed="false">
      <c r="A23" s="3"/>
    </row>
    <row r="24" customFormat="false" ht="15.75" hidden="false" customHeight="true" outlineLevel="0" collapsed="false">
      <c r="A24" s="4" t="s">
        <v>15</v>
      </c>
    </row>
    <row r="25" customFormat="false" ht="30" hidden="false" customHeight="true" outlineLevel="0" collapsed="false">
      <c r="A25" s="3" t="s">
        <v>16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3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8"/>
    <col collapsed="false" customWidth="true" hidden="false" outlineLevel="0" max="4" min="2" style="1" width="16"/>
    <col collapsed="false" customWidth="true" hidden="false" outlineLevel="0" max="5" min="5" style="1" width="2"/>
    <col collapsed="false" customWidth="true" hidden="false" outlineLevel="0" max="6" min="6" style="1" width="52"/>
  </cols>
  <sheetData>
    <row r="1" customFormat="false" ht="15.75" hidden="false" customHeight="true" outlineLevel="0" collapsed="false">
      <c r="A1" s="45" t="s">
        <v>264</v>
      </c>
    </row>
    <row r="2" customFormat="false" ht="39.75" hidden="false" customHeight="true" outlineLevel="0" collapsed="false">
      <c r="A2" s="46" t="s">
        <v>265</v>
      </c>
    </row>
    <row r="4" customFormat="false" ht="15" hidden="false" customHeight="true" outlineLevel="0" collapsed="false">
      <c r="A4" s="47" t="s">
        <v>266</v>
      </c>
      <c r="B4" s="48" t="s">
        <v>267</v>
      </c>
      <c r="C4" s="48" t="s">
        <v>268</v>
      </c>
      <c r="D4" s="48" t="s">
        <v>269</v>
      </c>
    </row>
    <row r="5" customFormat="false" ht="15" hidden="false" customHeight="true" outlineLevel="0" collapsed="false">
      <c r="A5" s="49" t="s">
        <v>270</v>
      </c>
      <c r="B5" s="50" t="n">
        <v>17.2</v>
      </c>
      <c r="C5" s="50" t="n">
        <v>10.8</v>
      </c>
      <c r="D5" s="51" t="n">
        <f aca="false">B5+C5</f>
        <v>28</v>
      </c>
    </row>
    <row r="6" customFormat="false" ht="15" hidden="false" customHeight="true" outlineLevel="0" collapsed="false">
      <c r="A6" s="49" t="s">
        <v>271</v>
      </c>
      <c r="B6" s="52" t="n">
        <v>0.511628</v>
      </c>
      <c r="C6" s="52" t="n">
        <v>0.453704</v>
      </c>
      <c r="D6" s="53" t="n">
        <f aca="false">D7/D5</f>
        <v>0.489285885714286</v>
      </c>
    </row>
    <row r="7" customFormat="false" ht="15" hidden="false" customHeight="true" outlineLevel="0" collapsed="false">
      <c r="A7" s="49" t="s">
        <v>272</v>
      </c>
      <c r="B7" s="54" t="n">
        <f aca="false">B5*B6</f>
        <v>8.8000016</v>
      </c>
      <c r="C7" s="54" t="n">
        <f aca="false">C5*C6</f>
        <v>4.9000032</v>
      </c>
      <c r="D7" s="54" t="n">
        <f aca="false">B7+C7</f>
        <v>13.7000048</v>
      </c>
    </row>
    <row r="8" customFormat="false" ht="15" hidden="false" customHeight="true" outlineLevel="0" collapsed="false">
      <c r="A8" s="49" t="s">
        <v>273</v>
      </c>
      <c r="B8" s="50" t="n">
        <v>6.5</v>
      </c>
      <c r="C8" s="50" t="n">
        <v>7.5</v>
      </c>
      <c r="D8" s="51" t="n">
        <f aca="false">D9/D7</f>
        <v>6.85766434184023</v>
      </c>
    </row>
    <row r="9" customFormat="false" ht="15" hidden="false" customHeight="true" outlineLevel="0" collapsed="false">
      <c r="A9" s="49" t="s">
        <v>274</v>
      </c>
      <c r="B9" s="55" t="n">
        <f aca="false">B7*B8</f>
        <v>57.2000104</v>
      </c>
      <c r="C9" s="55" t="n">
        <f aca="false">C7*C8</f>
        <v>36.750024</v>
      </c>
      <c r="D9" s="55" t="n">
        <f aca="false">B9+C9</f>
        <v>93.9500344</v>
      </c>
    </row>
    <row r="10" customFormat="false" ht="15" hidden="false" customHeight="true" outlineLevel="0" collapsed="false">
      <c r="A10" s="49" t="s">
        <v>275</v>
      </c>
      <c r="B10" s="56" t="n">
        <v>0.85</v>
      </c>
      <c r="C10" s="56" t="n">
        <v>0.85</v>
      </c>
      <c r="D10" s="57" t="n">
        <f aca="false">D11/D9</f>
        <v>0.85</v>
      </c>
    </row>
    <row r="11" customFormat="false" ht="15" hidden="false" customHeight="true" outlineLevel="0" collapsed="false">
      <c r="A11" s="58" t="s">
        <v>276</v>
      </c>
      <c r="B11" s="59" t="n">
        <f aca="false">B9*B10</f>
        <v>48.62000884</v>
      </c>
      <c r="C11" s="59" t="n">
        <f aca="false">C9*C10</f>
        <v>31.2375204</v>
      </c>
      <c r="D11" s="59" t="n">
        <f aca="false">B11+C11</f>
        <v>79.85752924</v>
      </c>
    </row>
    <row r="12" customFormat="false" ht="15" hidden="false" customHeight="true" outlineLevel="0" collapsed="false">
      <c r="A12" s="49" t="s">
        <v>277</v>
      </c>
      <c r="B12" s="54" t="n">
        <f aca="false">B9/Assumptions!$B$4</f>
        <v>27.7575631581501</v>
      </c>
      <c r="C12" s="54" t="n">
        <f aca="false">C9/Assumptions!$B$4</f>
        <v>17.8337574610569</v>
      </c>
      <c r="D12" s="54" t="n">
        <f aca="false">D9/Assumptions!$B$4</f>
        <v>45.5913206192071</v>
      </c>
    </row>
    <row r="13" customFormat="false" ht="15" hidden="false" customHeight="true" outlineLevel="0" collapsed="false">
      <c r="A13" s="58" t="s">
        <v>278</v>
      </c>
      <c r="B13" s="60" t="n">
        <f aca="false">B11/Assumptions!$B$4</f>
        <v>23.5939286844276</v>
      </c>
      <c r="C13" s="60" t="n">
        <f aca="false">C11/Assumptions!$B$4</f>
        <v>15.1586938418984</v>
      </c>
      <c r="D13" s="60" t="n">
        <f aca="false">D11/Assumptions!$B$4</f>
        <v>38.752622526326</v>
      </c>
    </row>
    <row r="15" customFormat="false" ht="15" hidden="false" customHeight="true" outlineLevel="0" collapsed="false">
      <c r="A15" s="61" t="s">
        <v>279</v>
      </c>
    </row>
    <row r="16" customFormat="false" ht="15" hidden="false" customHeight="true" outlineLevel="0" collapsed="false">
      <c r="A16" s="47" t="s">
        <v>280</v>
      </c>
      <c r="B16" s="47" t="s">
        <v>267</v>
      </c>
      <c r="C16" s="47" t="s">
        <v>268</v>
      </c>
    </row>
    <row r="17" customFormat="false" ht="30" hidden="false" customHeight="true" outlineLevel="0" collapsed="false">
      <c r="A17" s="62" t="s">
        <v>281</v>
      </c>
      <c r="B17" s="63" t="s">
        <v>282</v>
      </c>
      <c r="C17" s="63" t="s">
        <v>283</v>
      </c>
    </row>
    <row r="18" customFormat="false" ht="30" hidden="false" customHeight="true" outlineLevel="0" collapsed="false">
      <c r="A18" s="62" t="s">
        <v>284</v>
      </c>
      <c r="B18" s="63" t="s">
        <v>285</v>
      </c>
      <c r="C18" s="63" t="s">
        <v>286</v>
      </c>
    </row>
    <row r="19" customFormat="false" ht="30" hidden="false" customHeight="true" outlineLevel="0" collapsed="false">
      <c r="A19" s="62" t="s">
        <v>287</v>
      </c>
      <c r="B19" s="63" t="s">
        <v>288</v>
      </c>
      <c r="C19" s="63" t="s">
        <v>289</v>
      </c>
    </row>
    <row r="20" customFormat="false" ht="30" hidden="false" customHeight="true" outlineLevel="0" collapsed="false">
      <c r="A20" s="62" t="s">
        <v>290</v>
      </c>
      <c r="B20" s="63" t="s">
        <v>291</v>
      </c>
      <c r="C20" s="63" t="s">
        <v>292</v>
      </c>
    </row>
    <row r="21" customFormat="false" ht="30" hidden="false" customHeight="true" outlineLevel="0" collapsed="false">
      <c r="A21" s="62" t="s">
        <v>293</v>
      </c>
      <c r="B21" s="63" t="s">
        <v>294</v>
      </c>
      <c r="C21" s="63" t="s">
        <v>295</v>
      </c>
    </row>
    <row r="23" customFormat="false" ht="45.75" hidden="false" customHeight="true" outlineLevel="0" collapsed="false">
      <c r="A23" s="64" t="s">
        <v>296</v>
      </c>
      <c r="B23" s="64"/>
      <c r="C23" s="64"/>
      <c r="D23" s="64"/>
    </row>
    <row r="25" customFormat="false" ht="15" hidden="false" customHeight="true" outlineLevel="0" collapsed="false">
      <c r="A25" s="65" t="s">
        <v>297</v>
      </c>
    </row>
    <row r="26" customFormat="false" ht="15" hidden="false" customHeight="true" outlineLevel="0" collapsed="false">
      <c r="A26" s="66" t="s">
        <v>298</v>
      </c>
      <c r="B26" s="66" t="s">
        <v>299</v>
      </c>
      <c r="C26" s="66" t="s">
        <v>300</v>
      </c>
      <c r="D26" s="66" t="s">
        <v>301</v>
      </c>
    </row>
    <row r="27" customFormat="false" ht="15" hidden="false" customHeight="true" outlineLevel="0" collapsed="false">
      <c r="A27" s="21" t="s">
        <v>302</v>
      </c>
      <c r="B27" s="67" t="n">
        <v>79</v>
      </c>
      <c r="C27" s="24" t="n">
        <v>0.49</v>
      </c>
      <c r="D27" s="68" t="n">
        <f aca="false">B27*C27</f>
        <v>38.71</v>
      </c>
    </row>
    <row r="28" customFormat="false" ht="15" hidden="false" customHeight="true" outlineLevel="0" collapsed="false">
      <c r="A28" s="21" t="s">
        <v>303</v>
      </c>
      <c r="B28" s="67" t="n">
        <v>16</v>
      </c>
      <c r="C28" s="24" t="n">
        <v>0.4</v>
      </c>
      <c r="D28" s="68" t="n">
        <f aca="false">B28*C28</f>
        <v>6.4</v>
      </c>
    </row>
    <row r="29" customFormat="false" ht="15" hidden="false" customHeight="true" outlineLevel="0" collapsed="false">
      <c r="A29" s="21" t="s">
        <v>304</v>
      </c>
      <c r="B29" s="67" t="n">
        <v>0</v>
      </c>
      <c r="C29" s="24" t="n">
        <v>0.5</v>
      </c>
      <c r="D29" s="68" t="n">
        <f aca="false">B29*C29</f>
        <v>0</v>
      </c>
    </row>
    <row r="30" customFormat="false" ht="15" hidden="false" customHeight="true" outlineLevel="0" collapsed="false">
      <c r="A30" s="21" t="s">
        <v>305</v>
      </c>
      <c r="B30" s="69" t="n">
        <f aca="false">457.9-B27-B28-B29</f>
        <v>362.9</v>
      </c>
      <c r="C30" s="70" t="n">
        <v>0</v>
      </c>
      <c r="D30" s="68" t="n">
        <f aca="false">B30*C30</f>
        <v>0</v>
      </c>
    </row>
    <row r="31" customFormat="false" ht="15" hidden="false" customHeight="true" outlineLevel="0" collapsed="false">
      <c r="A31" s="65" t="s">
        <v>306</v>
      </c>
      <c r="B31" s="71" t="n">
        <f aca="false">SUM(B27:B30)</f>
        <v>457.9</v>
      </c>
      <c r="C31" s="72" t="n">
        <f aca="false">D31/B31</f>
        <v>0.0985149595981655</v>
      </c>
      <c r="D31" s="73" t="n">
        <f aca="false">SUM(D27:D30)</f>
        <v>45.11</v>
      </c>
    </row>
  </sheetData>
  <mergeCells count="1">
    <mergeCell ref="A23:D2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Y5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4"/>
    <col collapsed="false" customWidth="true" hidden="false" outlineLevel="0" max="2" min="2" style="1" width="16"/>
    <col collapsed="false" customWidth="true" hidden="false" outlineLevel="0" max="3" min="3" style="1" width="14"/>
    <col collapsed="false" customWidth="true" hidden="false" outlineLevel="0" max="4" min="4" style="1" width="18"/>
    <col collapsed="false" customWidth="true" hidden="false" outlineLevel="0" max="25" min="5" style="1" width="60"/>
  </cols>
  <sheetData>
    <row r="1" customFormat="false" ht="15.75" hidden="false" customHeight="true" outlineLevel="0" collapsed="false">
      <c r="A1" s="6" t="s">
        <v>307</v>
      </c>
      <c r="B1" s="7"/>
      <c r="C1" s="7"/>
      <c r="D1" s="7"/>
      <c r="E1" s="7"/>
      <c r="F1" s="7"/>
      <c r="G1" s="7"/>
      <c r="H1" s="7"/>
      <c r="I1" s="7"/>
      <c r="J1" s="7"/>
      <c r="K1" s="7"/>
      <c r="L1" s="7"/>
      <c r="M1" s="7"/>
      <c r="N1" s="7"/>
      <c r="O1" s="7"/>
      <c r="P1" s="7"/>
      <c r="Q1" s="7"/>
      <c r="R1" s="7"/>
      <c r="S1" s="7"/>
      <c r="T1" s="7"/>
      <c r="U1" s="7"/>
      <c r="V1" s="7"/>
      <c r="W1" s="7"/>
      <c r="X1" s="7"/>
      <c r="Y1" s="7"/>
    </row>
    <row r="2" customFormat="false" ht="15" hidden="false" customHeight="true" outlineLevel="0" collapsed="false">
      <c r="A2" s="8" t="s">
        <v>308</v>
      </c>
      <c r="B2" s="7"/>
      <c r="C2" s="7"/>
      <c r="D2" s="7"/>
      <c r="E2" s="7"/>
      <c r="F2" s="7"/>
      <c r="G2" s="7"/>
      <c r="H2" s="7"/>
      <c r="I2" s="7"/>
      <c r="J2" s="7"/>
      <c r="K2" s="7"/>
      <c r="L2" s="7"/>
      <c r="M2" s="7"/>
      <c r="N2" s="7"/>
      <c r="O2" s="7"/>
      <c r="P2" s="7"/>
      <c r="Q2" s="7"/>
      <c r="R2" s="7"/>
      <c r="S2" s="7"/>
      <c r="T2" s="7"/>
      <c r="U2" s="7"/>
      <c r="V2" s="7"/>
      <c r="W2" s="7"/>
      <c r="X2" s="7"/>
      <c r="Y2" s="7"/>
    </row>
    <row r="3" customFormat="false" ht="15" hidden="false" customHeight="true" outlineLevel="0" collapsed="false">
      <c r="A3" s="27" t="s">
        <v>165</v>
      </c>
      <c r="C3" s="42" t="s">
        <v>166</v>
      </c>
      <c r="D3" s="42" t="s">
        <v>167</v>
      </c>
      <c r="E3" s="42" t="s">
        <v>168</v>
      </c>
      <c r="F3" s="42" t="s">
        <v>169</v>
      </c>
      <c r="G3" s="42" t="s">
        <v>170</v>
      </c>
      <c r="H3" s="42" t="s">
        <v>171</v>
      </c>
      <c r="I3" s="42" t="s">
        <v>172</v>
      </c>
      <c r="J3" s="42" t="s">
        <v>173</v>
      </c>
      <c r="K3" s="42" t="s">
        <v>174</v>
      </c>
      <c r="L3" s="42" t="s">
        <v>175</v>
      </c>
      <c r="M3" s="42" t="s">
        <v>176</v>
      </c>
      <c r="N3" s="42" t="s">
        <v>177</v>
      </c>
      <c r="O3" s="42" t="s">
        <v>178</v>
      </c>
      <c r="P3" s="42" t="s">
        <v>179</v>
      </c>
      <c r="Q3" s="42" t="s">
        <v>180</v>
      </c>
      <c r="R3" s="42" t="s">
        <v>181</v>
      </c>
      <c r="S3" s="42" t="s">
        <v>182</v>
      </c>
      <c r="T3" s="42" t="s">
        <v>183</v>
      </c>
      <c r="U3" s="42" t="s">
        <v>184</v>
      </c>
      <c r="V3" s="42" t="s">
        <v>185</v>
      </c>
      <c r="W3" s="42" t="s">
        <v>186</v>
      </c>
      <c r="X3" s="42" t="s">
        <v>187</v>
      </c>
      <c r="Y3" s="42" t="s">
        <v>188</v>
      </c>
    </row>
    <row r="4" customFormat="false" ht="15" hidden="false" customHeight="true" outlineLevel="0" collapsed="false">
      <c r="A4" s="38" t="s">
        <v>309</v>
      </c>
      <c r="C4" s="17" t="n">
        <f aca="false">'Project Cash Flows'!C6-'Project Cash Flows'!C9-'Project Cash Flows'!C10-'Project Cash Flows'!C11-'Income Statement'!C4*Assumptions!$B$18-MAX('Income Statement'!C13,0)*Assumptions!$B$11</f>
        <v>11.0383682625</v>
      </c>
      <c r="D4" s="17" t="n">
        <f aca="false">'Project Cash Flows'!D6-'Project Cash Flows'!D9-'Project Cash Flows'!D10-'Project Cash Flows'!D11-'Income Statement'!D4*Assumptions!$B$18-MAX('Income Statement'!D13,0)*Assumptions!$B$11</f>
        <v>17.484042</v>
      </c>
      <c r="E4" s="17" t="n">
        <f aca="false">'Project Cash Flows'!E6-'Project Cash Flows'!E9-'Project Cash Flows'!E10-'Project Cash Flows'!E11-'Income Statement'!E4*Assumptions!$B$18-MAX('Income Statement'!E13,0)*Assumptions!$B$11</f>
        <v>25.1449035</v>
      </c>
      <c r="F4" s="17" t="n">
        <f aca="false">'Project Cash Flows'!F6-'Project Cash Flows'!F9-'Project Cash Flows'!F10-'Project Cash Flows'!F11-'Income Statement'!F4*Assumptions!$B$18-MAX('Income Statement'!F13,0)*Assumptions!$B$11</f>
        <v>34.7368356625</v>
      </c>
      <c r="G4" s="17" t="n">
        <f aca="false">'Project Cash Flows'!G6-'Project Cash Flows'!G9-'Project Cash Flows'!G10-'Project Cash Flows'!G11-'Income Statement'!G4*Assumptions!$B$18-MAX('Income Statement'!G13,0)*Assumptions!$B$11</f>
        <v>45.9523383125</v>
      </c>
      <c r="H4" s="17" t="n">
        <f aca="false">'Project Cash Flows'!H6-'Project Cash Flows'!H9-'Project Cash Flows'!H10-'Project Cash Flows'!H11-'Income Statement'!H4*Assumptions!$B$18-MAX('Income Statement'!H13,0)*Assumptions!$B$11</f>
        <v>60.3091731</v>
      </c>
      <c r="I4" s="17" t="n">
        <f aca="false">'Project Cash Flows'!I6-'Project Cash Flows'!I9-'Project Cash Flows'!I10-'Project Cash Flows'!I11-'Income Statement'!I4*Assumptions!$B$18-MAX('Income Statement'!I13,0)*Assumptions!$B$11</f>
        <v>76.9666467125</v>
      </c>
      <c r="J4" s="17" t="n">
        <f aca="false">'Project Cash Flows'!J6-'Project Cash Flows'!J9-'Project Cash Flows'!J10-'Project Cash Flows'!J11-'Income Statement'!J4*Assumptions!$B$18-MAX('Income Statement'!J13,0)*Assumptions!$B$11</f>
        <v>85.860704825</v>
      </c>
      <c r="K4" s="17" t="n">
        <f aca="false">'Project Cash Flows'!K6-'Project Cash Flows'!K9-'Project Cash Flows'!K10-'Project Cash Flows'!K11-'Income Statement'!K4*Assumptions!$B$18-MAX('Income Statement'!K13,0)*Assumptions!$B$11</f>
        <v>106.481354325</v>
      </c>
      <c r="L4" s="17" t="n">
        <f aca="false">'Project Cash Flows'!L6-'Project Cash Flows'!L9-'Project Cash Flows'!L10-'Project Cash Flows'!L11-'Income Statement'!L4*Assumptions!$B$18-MAX('Income Statement'!L13,0)*Assumptions!$B$11</f>
        <v>117.2474289875</v>
      </c>
      <c r="M4" s="17" t="n">
        <f aca="false">'Project Cash Flows'!M6-'Project Cash Flows'!M9-'Project Cash Flows'!M10-'Project Cash Flows'!M11-'Income Statement'!M4*Assumptions!$B$18-MAX('Income Statement'!M13,0)*Assumptions!$B$11</f>
        <v>122.756075075</v>
      </c>
      <c r="N4" s="17" t="n">
        <f aca="false">'Project Cash Flows'!N6-'Project Cash Flows'!N9-'Project Cash Flows'!N10-'Project Cash Flows'!N11-'Income Statement'!N4*Assumptions!$B$18-MAX('Income Statement'!N13,0)*Assumptions!$B$11</f>
        <v>123.541362275</v>
      </c>
      <c r="O4" s="17" t="n">
        <f aca="false">'Project Cash Flows'!O6-'Project Cash Flows'!O9-'Project Cash Flows'!O10-'Project Cash Flows'!O11-'Income Statement'!O4*Assumptions!$B$18-MAX('Income Statement'!O13,0)*Assumptions!$B$11</f>
        <v>117.3310111875</v>
      </c>
      <c r="P4" s="17" t="n">
        <f aca="false">'Project Cash Flows'!P6-'Project Cash Flows'!P9-'Project Cash Flows'!P10-'Project Cash Flows'!P11-'Income Statement'!P4*Assumptions!$B$18-MAX('Income Statement'!P13,0)*Assumptions!$B$11</f>
        <v>102.1850330375</v>
      </c>
      <c r="Q4" s="17" t="n">
        <f aca="false">'Project Cash Flows'!Q6-'Project Cash Flows'!Q9-'Project Cash Flows'!Q10-'Project Cash Flows'!Q11-'Income Statement'!Q4*Assumptions!$B$18-MAX('Income Statement'!Q13,0)*Assumptions!$B$11</f>
        <v>86.5459166125</v>
      </c>
      <c r="R4" s="17" t="n">
        <f aca="false">'Project Cash Flows'!R6-'Project Cash Flows'!R9-'Project Cash Flows'!R10-'Project Cash Flows'!R11-'Income Statement'!R4*Assumptions!$B$18-MAX('Income Statement'!R13,0)*Assumptions!$B$11</f>
        <v>69.4250609875</v>
      </c>
      <c r="S4" s="17" t="n">
        <f aca="false">'Project Cash Flows'!S6-'Project Cash Flows'!S9-'Project Cash Flows'!S10-'Project Cash Flows'!S11-'Income Statement'!S4*Assumptions!$B$18-MAX('Income Statement'!S13,0)*Assumptions!$B$11</f>
        <v>52.455339125</v>
      </c>
      <c r="T4" s="17" t="n">
        <f aca="false">'Project Cash Flows'!T6-'Project Cash Flows'!T9-'Project Cash Flows'!T10-'Project Cash Flows'!T11-'Income Statement'!T4*Assumptions!$B$18-MAX('Income Statement'!T13,0)*Assumptions!$B$11</f>
        <v>32.1833645125</v>
      </c>
      <c r="U4" s="17" t="n">
        <f aca="false">'Project Cash Flows'!U6-'Project Cash Flows'!U9-'Project Cash Flows'!U10-'Project Cash Flows'!U11-'Income Statement'!U4*Assumptions!$B$18-MAX('Income Statement'!U13,0)*Assumptions!$B$11</f>
        <v>19.160537375</v>
      </c>
      <c r="V4" s="17" t="n">
        <f aca="false">'Project Cash Flows'!V6-'Project Cash Flows'!V9-'Project Cash Flows'!V10-'Project Cash Flows'!V11-'Income Statement'!V4*Assumptions!$B$18-MAX('Income Statement'!V13,0)*Assumptions!$B$11</f>
        <v>6.14741</v>
      </c>
      <c r="W4" s="17" t="n">
        <f aca="false">'Project Cash Flows'!W6-'Project Cash Flows'!W9-'Project Cash Flows'!W10-'Project Cash Flows'!W11-'Income Statement'!W4*Assumptions!$B$18-MAX('Income Statement'!W13,0)*Assumptions!$B$11</f>
        <v>-0.991185</v>
      </c>
      <c r="X4" s="17" t="n">
        <f aca="false">'Project Cash Flows'!X6-'Project Cash Flows'!X9-'Project Cash Flows'!X10-'Project Cash Flows'!X11-'Income Statement'!X4*Assumptions!$B$18-MAX('Income Statement'!X13,0)*Assumptions!$B$11</f>
        <v>0</v>
      </c>
      <c r="Y4" s="17" t="n">
        <f aca="false">'Project Cash Flows'!Y6-'Project Cash Flows'!Y9-'Project Cash Flows'!Y10-'Project Cash Flows'!Y11-'Income Statement'!Y4*Assumptions!$B$18-MAX('Income Statement'!Y13,0)*Assumptions!$B$11</f>
        <v>0</v>
      </c>
    </row>
    <row r="5" customFormat="false" ht="15" hidden="false" customHeight="true" outlineLevel="0" collapsed="false">
      <c r="A5" s="10" t="s">
        <v>310</v>
      </c>
      <c r="C5" s="74" t="n">
        <f aca="false">1/(1+Assumptions!$B$10)^1</f>
        <v>0.847457627118644</v>
      </c>
      <c r="D5" s="74" t="n">
        <f aca="false">1/(1+Assumptions!$B$10)^2</f>
        <v>0.718184429761563</v>
      </c>
      <c r="E5" s="74" t="n">
        <f aca="false">1/(1+Assumptions!$B$10)^3</f>
        <v>0.608630872679291</v>
      </c>
      <c r="F5" s="74" t="n">
        <f aca="false">1/(1+Assumptions!$B$10)^4</f>
        <v>0.515788875151941</v>
      </c>
      <c r="G5" s="74" t="n">
        <f aca="false">1/(1+Assumptions!$B$10)^5</f>
        <v>0.437109216230459</v>
      </c>
      <c r="H5" s="74" t="n">
        <f aca="false">1/(1+Assumptions!$B$10)^6</f>
        <v>0.370431539178355</v>
      </c>
      <c r="I5" s="74" t="n">
        <f aca="false">1/(1+Assumptions!$B$10)^7</f>
        <v>0.313925033201996</v>
      </c>
      <c r="J5" s="74" t="n">
        <f aca="false">1/(1+Assumptions!$B$10)^8</f>
        <v>0.266038163730505</v>
      </c>
      <c r="K5" s="74" t="n">
        <f aca="false">1/(1+Assumptions!$B$10)^9</f>
        <v>0.225456070958055</v>
      </c>
      <c r="L5" s="74" t="n">
        <f aca="false">1/(1+Assumptions!$B$10)^10</f>
        <v>0.191064466913606</v>
      </c>
      <c r="M5" s="74" t="n">
        <f aca="false">1/(1+Assumptions!$B$10)^11</f>
        <v>0.161919039757293</v>
      </c>
      <c r="N5" s="74" t="n">
        <f aca="false">1/(1+Assumptions!$B$10)^12</f>
        <v>0.137219525218045</v>
      </c>
      <c r="O5" s="74" t="n">
        <f aca="false">1/(1+Assumptions!$B$10)^13</f>
        <v>0.116287733235631</v>
      </c>
      <c r="P5" s="74" t="n">
        <f aca="false">1/(1+Assumptions!$B$10)^14</f>
        <v>0.0985489264708741</v>
      </c>
      <c r="Q5" s="74" t="n">
        <f aca="false">1/(1+Assumptions!$B$10)^15</f>
        <v>0.0835160393820967</v>
      </c>
      <c r="R5" s="74" t="n">
        <f aca="false">1/(1+Assumptions!$B$10)^16</f>
        <v>0.0707763045610989</v>
      </c>
      <c r="S5" s="74" t="n">
        <f aca="false">1/(1+Assumptions!$B$10)^17</f>
        <v>0.0599799191195753</v>
      </c>
      <c r="T5" s="74" t="n">
        <f aca="false">1/(1+Assumptions!$B$10)^18</f>
        <v>0.0508304399318435</v>
      </c>
      <c r="U5" s="74" t="n">
        <f aca="false">1/(1+Assumptions!$B$10)^19</f>
        <v>0.0430766440100369</v>
      </c>
      <c r="V5" s="74" t="n">
        <f aca="false">1/(1+Assumptions!$B$10)^20</f>
        <v>0.0365056305169804</v>
      </c>
      <c r="W5" s="74" t="n">
        <f aca="false">1/(1+Assumptions!$B$10)^21</f>
        <v>0.0309369750143902</v>
      </c>
      <c r="X5" s="74" t="n">
        <f aca="false">1/(1+Assumptions!$B$10)^22</f>
        <v>0.0262177754359239</v>
      </c>
      <c r="Y5" s="74" t="n">
        <f aca="false">1/(1+Assumptions!$B$10)^23</f>
        <v>0.0222184537592575</v>
      </c>
    </row>
    <row r="6" customFormat="false" ht="15" hidden="false" customHeight="true" outlineLevel="0" collapsed="false">
      <c r="A6" s="10" t="s">
        <v>311</v>
      </c>
      <c r="C6" s="17" t="n">
        <f aca="false">C4*C5</f>
        <v>9.354549375</v>
      </c>
      <c r="D6" s="17" t="n">
        <f aca="false">D4*D5</f>
        <v>12.5567667336972</v>
      </c>
      <c r="E6" s="17" t="n">
        <f aca="false">E4*E5</f>
        <v>15.3039645606416</v>
      </c>
      <c r="F6" s="17" t="n">
        <f aca="false">F4*F5</f>
        <v>17.9168733926987</v>
      </c>
      <c r="G6" s="17" t="n">
        <f aca="false">G4*G5</f>
        <v>20.0861905837337</v>
      </c>
      <c r="H6" s="17" t="n">
        <f aca="false">H4*H5</f>
        <v>22.3404198180068</v>
      </c>
      <c r="I6" s="17" t="n">
        <f aca="false">I4*I5</f>
        <v>24.1617571246678</v>
      </c>
      <c r="J6" s="17" t="n">
        <f aca="false">J4*J5</f>
        <v>22.8422242482499</v>
      </c>
      <c r="K6" s="17" t="n">
        <f aca="false">K4*K5</f>
        <v>24.006867776407</v>
      </c>
      <c r="L6" s="17" t="n">
        <f aca="false">L4*L5</f>
        <v>22.4018175164875</v>
      </c>
      <c r="M6" s="17" t="n">
        <f aca="false">M4*M5</f>
        <v>19.8765458005182</v>
      </c>
      <c r="N6" s="17" t="n">
        <f aca="false">N4*N5</f>
        <v>16.952287076166</v>
      </c>
      <c r="O6" s="17" t="n">
        <f aca="false">O4*O5</f>
        <v>13.6441573292389</v>
      </c>
      <c r="P6" s="17" t="n">
        <f aca="false">P4*P5</f>
        <v>10.0702253072364</v>
      </c>
      <c r="Q6" s="17" t="n">
        <f aca="false">Q4*Q5</f>
        <v>7.2279721801692</v>
      </c>
      <c r="R6" s="17" t="n">
        <f aca="false">R4*R5</f>
        <v>4.91364926062416</v>
      </c>
      <c r="S6" s="17" t="n">
        <f aca="false">S4*S5</f>
        <v>3.14626699810739</v>
      </c>
      <c r="T6" s="17" t="n">
        <f aca="false">T4*T5</f>
        <v>1.63589457665725</v>
      </c>
      <c r="U6" s="17" t="n">
        <f aca="false">U4*U5</f>
        <v>0.825371647543881</v>
      </c>
      <c r="V6" s="17" t="n">
        <f aca="false">V4*V5</f>
        <v>0.22441507809639</v>
      </c>
      <c r="W6" s="17" t="n">
        <f aca="false">W4*W5</f>
        <v>-0.0306642655796383</v>
      </c>
      <c r="X6" s="17" t="n">
        <f aca="false">X4*X5</f>
        <v>0</v>
      </c>
      <c r="Y6" s="17" t="n">
        <f aca="false">Y4*Y5</f>
        <v>0</v>
      </c>
    </row>
    <row r="9" customFormat="false" ht="15" hidden="false" customHeight="true" outlineLevel="0" collapsed="false">
      <c r="A9" s="10" t="s">
        <v>312</v>
      </c>
      <c r="B9" s="17" t="n">
        <f aca="false">SUM(C6:Y6)</f>
        <v>269.457552118368</v>
      </c>
    </row>
    <row r="10" customFormat="false" ht="15" hidden="false" customHeight="true" outlineLevel="0" collapsed="false">
      <c r="A10" s="10" t="s">
        <v>313</v>
      </c>
      <c r="B10" s="17" t="n">
        <v>0</v>
      </c>
    </row>
    <row r="11" customFormat="false" ht="15" hidden="false" customHeight="true" outlineLevel="0" collapsed="false">
      <c r="A11" s="38" t="s">
        <v>314</v>
      </c>
      <c r="B11" s="40" t="n">
        <f aca="false">B9+B10</f>
        <v>269.457552118368</v>
      </c>
    </row>
    <row r="12" customFormat="false" ht="15" hidden="false" customHeight="true" outlineLevel="0" collapsed="false">
      <c r="A12" s="10" t="s">
        <v>315</v>
      </c>
      <c r="B12" s="17" t="n">
        <f aca="false">Assumptions!$B$31*Assumptions!$B$32</f>
        <v>57.2000104</v>
      </c>
    </row>
    <row r="13" customFormat="false" ht="15" hidden="false" customHeight="true" outlineLevel="0" collapsed="false">
      <c r="A13" s="10" t="s">
        <v>316</v>
      </c>
      <c r="B13" s="17" t="n">
        <f aca="false">Assumptions!$B$34*Assumptions!$B$35</f>
        <v>36.750024</v>
      </c>
    </row>
    <row r="14" customFormat="false" ht="15" hidden="false" customHeight="true" outlineLevel="0" collapsed="false">
      <c r="A14" s="38" t="s">
        <v>317</v>
      </c>
      <c r="B14" s="40" t="n">
        <f aca="false">B11+B12+B13</f>
        <v>363.407586518368</v>
      </c>
    </row>
    <row r="15" customFormat="false" ht="15" hidden="false" customHeight="true" outlineLevel="0" collapsed="false">
      <c r="A15" s="10" t="s">
        <v>318</v>
      </c>
      <c r="B15" s="68" t="n">
        <f aca="false">-Assumptions!$B$28*B12</f>
        <v>-23.166004212</v>
      </c>
    </row>
    <row r="16" customFormat="false" ht="15" hidden="false" customHeight="true" outlineLevel="0" collapsed="false">
      <c r="A16" s="10" t="s">
        <v>319</v>
      </c>
      <c r="B16" s="68" t="n">
        <f aca="false">Assumptions!B5*Assumptions!B29</f>
        <v>64.71</v>
      </c>
    </row>
    <row r="17" customFormat="false" ht="15" hidden="false" customHeight="true" outlineLevel="0" collapsed="false">
      <c r="A17" s="34" t="s">
        <v>320</v>
      </c>
      <c r="B17" s="75" t="n">
        <f aca="false">B14+B15+B16</f>
        <v>404.951582306368</v>
      </c>
    </row>
    <row r="18" customFormat="false" ht="15" hidden="false" customHeight="true" outlineLevel="0" collapsed="false">
      <c r="A18" s="10" t="s">
        <v>42</v>
      </c>
      <c r="B18" s="37" t="n">
        <f aca="false">Assumptions!$B$4</f>
        <v>2.0607</v>
      </c>
    </row>
    <row r="19" customFormat="false" ht="15" hidden="false" customHeight="true" outlineLevel="0" collapsed="false">
      <c r="A19" s="66" t="s">
        <v>321</v>
      </c>
      <c r="B19" s="76" t="n">
        <f aca="false">B17/B18</f>
        <v>196.511662205255</v>
      </c>
    </row>
    <row r="22" customFormat="false" ht="15" hidden="false" customHeight="true" outlineLevel="0" collapsed="false">
      <c r="A22" s="9" t="s">
        <v>322</v>
      </c>
    </row>
    <row r="23" customFormat="false" ht="15" hidden="false" customHeight="true" outlineLevel="0" collapsed="false">
      <c r="A23" s="27" t="s">
        <v>323</v>
      </c>
      <c r="B23" s="28" t="s">
        <v>324</v>
      </c>
      <c r="C23" s="28" t="s">
        <v>119</v>
      </c>
      <c r="D23" s="28" t="s">
        <v>325</v>
      </c>
    </row>
    <row r="24" customFormat="false" ht="15" hidden="false" customHeight="true" outlineLevel="0" collapsed="false">
      <c r="A24" s="10" t="s">
        <v>89</v>
      </c>
      <c r="B24" s="77" t="n">
        <v>10.777</v>
      </c>
      <c r="C24" s="41" t="n">
        <f aca="false">Assumptions!$K$40</f>
        <v>0.93</v>
      </c>
      <c r="D24" s="78" t="n">
        <f aca="false">B24*C24</f>
        <v>10.02261</v>
      </c>
    </row>
    <row r="25" customFormat="false" ht="15" hidden="false" customHeight="true" outlineLevel="0" collapsed="false">
      <c r="A25" s="10" t="s">
        <v>91</v>
      </c>
      <c r="B25" s="77" t="n">
        <v>15.6373</v>
      </c>
      <c r="C25" s="41" t="n">
        <f aca="false">Assumptions!$K$41</f>
        <v>0.6</v>
      </c>
      <c r="D25" s="78" t="n">
        <f aca="false">B25*C25</f>
        <v>9.38238</v>
      </c>
    </row>
    <row r="26" customFormat="false" ht="15" hidden="false" customHeight="true" outlineLevel="0" collapsed="false">
      <c r="A26" s="10" t="s">
        <v>93</v>
      </c>
      <c r="B26" s="77" t="n">
        <v>2.7906</v>
      </c>
      <c r="C26" s="41" t="n">
        <f aca="false">Assumptions!$K$42</f>
        <v>0.88</v>
      </c>
      <c r="D26" s="78" t="n">
        <f aca="false">B26*C26</f>
        <v>2.455728</v>
      </c>
    </row>
    <row r="27" customFormat="false" ht="15" hidden="false" customHeight="true" outlineLevel="0" collapsed="false">
      <c r="A27" s="10" t="s">
        <v>95</v>
      </c>
      <c r="B27" s="77" t="n">
        <v>13.9717</v>
      </c>
      <c r="C27" s="41" t="n">
        <f aca="false">Assumptions!$K$43</f>
        <v>0.74</v>
      </c>
      <c r="D27" s="78" t="n">
        <f aca="false">B27*C27</f>
        <v>10.339058</v>
      </c>
    </row>
    <row r="28" customFormat="false" ht="15" hidden="false" customHeight="true" outlineLevel="0" collapsed="false">
      <c r="A28" s="10" t="s">
        <v>97</v>
      </c>
      <c r="B28" s="77" t="n">
        <v>10.9074</v>
      </c>
      <c r="C28" s="41" t="n">
        <f aca="false">Assumptions!$K$44</f>
        <v>0.76</v>
      </c>
      <c r="D28" s="78" t="n">
        <f aca="false">B28*C28</f>
        <v>8.289624</v>
      </c>
    </row>
    <row r="29" customFormat="false" ht="15" hidden="false" customHeight="true" outlineLevel="0" collapsed="false">
      <c r="A29" s="10" t="s">
        <v>99</v>
      </c>
      <c r="B29" s="77" t="n">
        <v>3.3067</v>
      </c>
      <c r="C29" s="41" t="n">
        <f aca="false">Assumptions!$K$45</f>
        <v>0.86</v>
      </c>
      <c r="D29" s="78" t="n">
        <f aca="false">B29*C29</f>
        <v>2.843762</v>
      </c>
    </row>
    <row r="30" customFormat="false" ht="15" hidden="false" customHeight="true" outlineLevel="0" collapsed="false">
      <c r="A30" s="10" t="s">
        <v>101</v>
      </c>
      <c r="B30" s="77" t="n">
        <v>0.8224</v>
      </c>
      <c r="C30" s="41" t="n">
        <f aca="false">Assumptions!$K$46</f>
        <v>0.93</v>
      </c>
      <c r="D30" s="78" t="n">
        <f aca="false">B30*C30</f>
        <v>0.764832</v>
      </c>
    </row>
    <row r="31" customFormat="false" ht="15" hidden="false" customHeight="true" outlineLevel="0" collapsed="false">
      <c r="A31" s="10" t="s">
        <v>102</v>
      </c>
      <c r="B31" s="77" t="n">
        <v>6.0036</v>
      </c>
      <c r="C31" s="41" t="n">
        <f aca="false">Assumptions!$K$47</f>
        <v>0.78</v>
      </c>
      <c r="D31" s="78" t="n">
        <f aca="false">B31*C31</f>
        <v>4.682808</v>
      </c>
    </row>
    <row r="32" customFormat="false" ht="15" hidden="false" customHeight="true" outlineLevel="0" collapsed="false">
      <c r="A32" s="10" t="s">
        <v>104</v>
      </c>
      <c r="B32" s="77" t="n">
        <v>11.6034</v>
      </c>
      <c r="C32" s="41" t="n">
        <f aca="false">Assumptions!$K$48</f>
        <v>0.54</v>
      </c>
      <c r="D32" s="78" t="n">
        <f aca="false">B32*C32</f>
        <v>6.265836</v>
      </c>
    </row>
    <row r="33" customFormat="false" ht="15" hidden="false" customHeight="true" outlineLevel="0" collapsed="false">
      <c r="A33" s="10" t="s">
        <v>106</v>
      </c>
      <c r="B33" s="77" t="n">
        <v>5.1852</v>
      </c>
      <c r="C33" s="41" t="n">
        <f aca="false">Assumptions!$K$49</f>
        <v>0.52</v>
      </c>
      <c r="D33" s="78" t="n">
        <f aca="false">B33*C33</f>
        <v>2.696304</v>
      </c>
    </row>
    <row r="34" customFormat="false" ht="15" hidden="false" customHeight="true" outlineLevel="0" collapsed="false">
      <c r="A34" s="10" t="s">
        <v>108</v>
      </c>
      <c r="B34" s="77" t="n">
        <v>9.8658</v>
      </c>
      <c r="C34" s="41" t="n">
        <f aca="false">Assumptions!$K$50</f>
        <v>0.16</v>
      </c>
      <c r="D34" s="78" t="n">
        <f aca="false">B34*C34</f>
        <v>1.578528</v>
      </c>
    </row>
    <row r="35" customFormat="false" ht="15" hidden="false" customHeight="true" outlineLevel="0" collapsed="false">
      <c r="A35" s="10" t="s">
        <v>110</v>
      </c>
      <c r="B35" s="77" t="n">
        <v>4.7566</v>
      </c>
      <c r="C35" s="41" t="n">
        <f aca="false">Assumptions!$K$51</f>
        <v>0.32</v>
      </c>
      <c r="D35" s="78" t="n">
        <f aca="false">B35*C35</f>
        <v>1.522112</v>
      </c>
    </row>
    <row r="36" customFormat="false" ht="15" hidden="false" customHeight="true" outlineLevel="0" collapsed="false">
      <c r="A36" s="10" t="s">
        <v>197</v>
      </c>
      <c r="B36" s="77" t="n">
        <v>26.2553</v>
      </c>
      <c r="C36" s="41" t="n">
        <f aca="false">Assumptions!$B$60</f>
        <v>0.97</v>
      </c>
      <c r="D36" s="78" t="n">
        <f aca="false">B36*C36</f>
        <v>25.467641</v>
      </c>
    </row>
    <row r="37" customFormat="false" ht="15" hidden="false" customHeight="true" outlineLevel="0" collapsed="false">
      <c r="A37" s="10" t="s">
        <v>326</v>
      </c>
      <c r="B37" s="77" t="n">
        <v>4.5284</v>
      </c>
      <c r="C37" s="41" t="n">
        <f aca="false">Assumptions!$B$37</f>
        <v>0.6</v>
      </c>
      <c r="D37" s="78" t="n">
        <f aca="false">B37*C37</f>
        <v>2.71704</v>
      </c>
    </row>
    <row r="38" customFormat="false" ht="15" hidden="false" customHeight="true" outlineLevel="0" collapsed="false">
      <c r="A38" s="10" t="s">
        <v>327</v>
      </c>
      <c r="B38" s="78" t="n">
        <f aca="false">Assumptions!$B$31*Assumptions!$B$32/Assumptions!$B$4</f>
        <v>27.7575631581501</v>
      </c>
      <c r="C38" s="41" t="n">
        <f aca="false">Assumptions!$B$33</f>
        <v>0.85</v>
      </c>
      <c r="D38" s="78" t="n">
        <f aca="false">B38*C38</f>
        <v>23.5939286844276</v>
      </c>
    </row>
    <row r="39" customFormat="false" ht="15" hidden="false" customHeight="true" outlineLevel="0" collapsed="false">
      <c r="A39" s="10" t="s">
        <v>328</v>
      </c>
      <c r="B39" s="78" t="n">
        <f aca="false">Assumptions!$B$34*Assumptions!$B$35/Assumptions!$B$4</f>
        <v>17.8337574610569</v>
      </c>
      <c r="C39" s="41" t="n">
        <f aca="false">Assumptions!$B$36</f>
        <v>0.85</v>
      </c>
      <c r="D39" s="78" t="n">
        <f aca="false">B39*C39</f>
        <v>15.1586938418984</v>
      </c>
    </row>
    <row r="40" customFormat="false" ht="15" hidden="false" customHeight="true" outlineLevel="0" collapsed="false">
      <c r="A40" s="38" t="s">
        <v>329</v>
      </c>
      <c r="B40" s="79" t="n">
        <f aca="false">SUM(B24:B39)</f>
        <v>172.002720619207</v>
      </c>
      <c r="D40" s="79" t="n">
        <f aca="false">SUM(D24:D39)</f>
        <v>127.780885526326</v>
      </c>
    </row>
    <row r="41" customFormat="false" ht="15" hidden="false" customHeight="true" outlineLevel="0" collapsed="false">
      <c r="A41" s="10" t="s">
        <v>330</v>
      </c>
      <c r="B41" s="80" t="n">
        <f aca="false">-(Assumptions!$B$28*B38 + Assumptions!$D$28*B36)</f>
        <v>-13.8283528977885</v>
      </c>
      <c r="D41" s="80" t="n">
        <f aca="false">-(Assumptions!$B$28*D38 + Assumptions!$D$28*D36)</f>
        <v>-12.0644847413688</v>
      </c>
    </row>
    <row r="42" customFormat="false" ht="15" hidden="false" customHeight="true" outlineLevel="0" collapsed="false">
      <c r="A42" s="10" t="s">
        <v>331</v>
      </c>
      <c r="B42" s="80" t="n">
        <f aca="false">Assumptions!B5*Assumptions!B29/Assumptions!B4</f>
        <v>31.4019507934197</v>
      </c>
      <c r="D42" s="80" t="n">
        <f aca="false">Assumptions!B5*Assumptions!B29/Assumptions!B4</f>
        <v>31.4019507934197</v>
      </c>
    </row>
    <row r="43" customFormat="false" ht="15" hidden="false" customHeight="true" outlineLevel="0" collapsed="false">
      <c r="A43" s="66" t="s">
        <v>332</v>
      </c>
      <c r="B43" s="76" t="n">
        <f aca="false">B40+B41+B42</f>
        <v>189.576318514838</v>
      </c>
      <c r="C43" s="81" t="s">
        <v>333</v>
      </c>
      <c r="D43" s="76" t="n">
        <f aca="false">D40+D41+D42</f>
        <v>147.118351578377</v>
      </c>
    </row>
    <row r="45" customFormat="false" ht="15" hidden="false" customHeight="false" outlineLevel="0" collapsed="false">
      <c r="A45" s="82" t="s">
        <v>334</v>
      </c>
    </row>
    <row r="46" customFormat="false" ht="15" hidden="false" customHeight="false" outlineLevel="0" collapsed="false">
      <c r="A46" s="83" t="s">
        <v>335</v>
      </c>
      <c r="B46" s="83" t="s">
        <v>336</v>
      </c>
      <c r="C46" s="83" t="s">
        <v>337</v>
      </c>
      <c r="D46" s="83" t="s">
        <v>338</v>
      </c>
      <c r="E46" s="83" t="s">
        <v>339</v>
      </c>
    </row>
    <row r="47" customFormat="false" ht="41.75" hidden="false" customHeight="false" outlineLevel="0" collapsed="false">
      <c r="A47" s="84" t="s">
        <v>340</v>
      </c>
      <c r="B47" s="85" t="n">
        <f aca="false">B43</f>
        <v>189.576318514838</v>
      </c>
      <c r="C47" s="85" t="n">
        <f aca="false">D43</f>
        <v>147.118351578377</v>
      </c>
      <c r="D47" s="85" t="n">
        <f aca="false">D42+D36+D38+D39+D41</f>
        <v>83.5577295783769</v>
      </c>
      <c r="E47" s="86" t="s">
        <v>341</v>
      </c>
    </row>
    <row r="48" customFormat="false" ht="28.35" hidden="false" customHeight="false" outlineLevel="0" collapsed="false">
      <c r="A48" s="1" t="s">
        <v>342</v>
      </c>
      <c r="B48" s="15" t="n">
        <f aca="false">B19</f>
        <v>196.511662205255</v>
      </c>
      <c r="C48" s="15" t="n">
        <f aca="false">B19</f>
        <v>196.511662205255</v>
      </c>
      <c r="D48" s="15"/>
      <c r="E48" s="87" t="s">
        <v>343</v>
      </c>
    </row>
    <row r="49" customFormat="false" ht="28.35" hidden="false" customHeight="false" outlineLevel="0" collapsed="false">
      <c r="A49" s="1" t="s">
        <v>344</v>
      </c>
      <c r="B49" s="15" t="n">
        <f aca="false">B43*(1-0.4)</f>
        <v>113.745791108903</v>
      </c>
      <c r="C49" s="15" t="n">
        <f aca="false">B43*(1-0.45)</f>
        <v>104.266975183161</v>
      </c>
      <c r="D49" s="15"/>
      <c r="E49" s="87" t="s">
        <v>345</v>
      </c>
    </row>
    <row r="50" customFormat="false" ht="28.35" hidden="false" customHeight="false" outlineLevel="0" collapsed="false">
      <c r="A50" s="1" t="s">
        <v>346</v>
      </c>
      <c r="B50" s="15"/>
      <c r="C50" s="15"/>
      <c r="D50" s="15"/>
      <c r="E50" s="87" t="s">
        <v>347</v>
      </c>
    </row>
    <row r="51" customFormat="false" ht="55.2" hidden="false" customHeight="false" outlineLevel="0" collapsed="false">
      <c r="A51" s="88" t="s">
        <v>348</v>
      </c>
      <c r="B51" s="89" t="n">
        <f aca="false">B43</f>
        <v>189.576318514838</v>
      </c>
      <c r="C51" s="89" t="n">
        <f aca="false">D43</f>
        <v>147.118351578377</v>
      </c>
      <c r="D51" s="89" t="n">
        <f aca="false">D42+D36+D38+D39+D41</f>
        <v>83.5577295783769</v>
      </c>
      <c r="E51" s="90" t="s">
        <v>349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5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0"/>
    <col collapsed="false" customWidth="true" hidden="false" outlineLevel="0" max="2" min="2" style="1" width="13"/>
    <col collapsed="false" customWidth="true" hidden="false" outlineLevel="0" max="6" min="3" style="1" width="12"/>
    <col collapsed="false" customWidth="true" hidden="false" outlineLevel="0" max="7" min="7" style="1" width="11"/>
    <col collapsed="false" customWidth="true" hidden="false" outlineLevel="0" max="8" min="8" style="1" width="40"/>
  </cols>
  <sheetData>
    <row r="1" customFormat="false" ht="15.75" hidden="false" customHeight="true" outlineLevel="0" collapsed="false">
      <c r="A1" s="45" t="s">
        <v>350</v>
      </c>
    </row>
    <row r="2" customFormat="false" ht="25.5" hidden="false" customHeight="true" outlineLevel="0" collapsed="false">
      <c r="A2" s="46" t="s">
        <v>351</v>
      </c>
    </row>
    <row r="4" customFormat="false" ht="15" hidden="false" customHeight="true" outlineLevel="0" collapsed="false">
      <c r="A4" s="61" t="s">
        <v>352</v>
      </c>
    </row>
    <row r="5" customFormat="false" ht="15" hidden="false" customHeight="true" outlineLevel="0" collapsed="false">
      <c r="A5" s="21" t="s">
        <v>353</v>
      </c>
      <c r="B5" s="91" t="n">
        <v>96.8</v>
      </c>
    </row>
    <row r="6" customFormat="false" ht="15" hidden="false" customHeight="true" outlineLevel="0" collapsed="false">
      <c r="A6" s="21" t="s">
        <v>354</v>
      </c>
      <c r="B6" s="91" t="n">
        <v>20</v>
      </c>
    </row>
    <row r="7" customFormat="false" ht="15" hidden="false" customHeight="true" outlineLevel="0" collapsed="false">
      <c r="A7" s="21" t="s">
        <v>355</v>
      </c>
      <c r="B7" s="91" t="n">
        <v>60</v>
      </c>
    </row>
    <row r="8" customFormat="false" ht="15" hidden="false" customHeight="true" outlineLevel="0" collapsed="false">
      <c r="A8" s="21" t="s">
        <v>356</v>
      </c>
      <c r="B8" s="92" t="n">
        <v>0.11</v>
      </c>
    </row>
    <row r="9" customFormat="false" ht="15" hidden="false" customHeight="true" outlineLevel="0" collapsed="false">
      <c r="A9" s="21" t="s">
        <v>357</v>
      </c>
      <c r="B9" s="91" t="n">
        <v>92</v>
      </c>
    </row>
    <row r="10" customFormat="false" ht="15" hidden="false" customHeight="true" outlineLevel="0" collapsed="false">
      <c r="A10" s="21" t="s">
        <v>358</v>
      </c>
      <c r="B10" s="91" t="n">
        <v>100</v>
      </c>
    </row>
    <row r="11" customFormat="false" ht="15" hidden="false" customHeight="true" outlineLevel="0" collapsed="false">
      <c r="A11" s="21" t="s">
        <v>359</v>
      </c>
      <c r="B11" s="91" t="n">
        <v>126</v>
      </c>
    </row>
    <row r="12" customFormat="false" ht="15" hidden="false" customHeight="true" outlineLevel="0" collapsed="false">
      <c r="A12" s="21" t="s">
        <v>360</v>
      </c>
      <c r="B12" s="91" t="n">
        <v>88</v>
      </c>
    </row>
    <row r="13" customFormat="false" ht="15" hidden="false" customHeight="true" outlineLevel="0" collapsed="false">
      <c r="A13" s="21" t="s">
        <v>361</v>
      </c>
      <c r="B13" s="91" t="n">
        <v>83</v>
      </c>
    </row>
    <row r="15" customFormat="false" ht="15" hidden="false" customHeight="true" outlineLevel="0" collapsed="false">
      <c r="A15" s="61" t="s">
        <v>362</v>
      </c>
    </row>
    <row r="16" customFormat="false" ht="15" hidden="false" customHeight="true" outlineLevel="0" collapsed="false">
      <c r="A16" s="47" t="s">
        <v>363</v>
      </c>
      <c r="B16" s="48" t="s">
        <v>364</v>
      </c>
      <c r="C16" s="48" t="s">
        <v>365</v>
      </c>
      <c r="D16" s="48" t="s">
        <v>366</v>
      </c>
      <c r="E16" s="48" t="s">
        <v>367</v>
      </c>
      <c r="F16" s="48" t="s">
        <v>368</v>
      </c>
      <c r="G16" s="48" t="s">
        <v>369</v>
      </c>
      <c r="H16" s="48" t="s">
        <v>370</v>
      </c>
    </row>
    <row r="17" customFormat="false" ht="23.25" hidden="false" customHeight="true" outlineLevel="0" collapsed="false">
      <c r="A17" s="49" t="s">
        <v>371</v>
      </c>
      <c r="B17" s="93" t="s">
        <v>372</v>
      </c>
      <c r="C17" s="52" t="n">
        <v>0.02</v>
      </c>
      <c r="D17" s="52" t="n">
        <v>0.04</v>
      </c>
      <c r="E17" s="93" t="s">
        <v>373</v>
      </c>
      <c r="F17" s="93" t="s">
        <v>373</v>
      </c>
      <c r="G17" s="93" t="s">
        <v>373</v>
      </c>
      <c r="H17" s="63" t="s">
        <v>374</v>
      </c>
    </row>
    <row r="18" customFormat="false" ht="15" hidden="false" customHeight="true" outlineLevel="0" collapsed="false">
      <c r="A18" s="49" t="s">
        <v>375</v>
      </c>
      <c r="B18" s="93" t="s">
        <v>372</v>
      </c>
      <c r="C18" s="52" t="n">
        <v>-0.025</v>
      </c>
      <c r="D18" s="52" t="n">
        <v>0.07</v>
      </c>
      <c r="E18" s="93" t="s">
        <v>373</v>
      </c>
      <c r="F18" s="93" t="s">
        <v>373</v>
      </c>
      <c r="G18" s="93" t="s">
        <v>373</v>
      </c>
      <c r="H18" s="63" t="s">
        <v>376</v>
      </c>
    </row>
    <row r="19" customFormat="false" ht="15" hidden="false" customHeight="true" outlineLevel="0" collapsed="false">
      <c r="A19" s="49" t="s">
        <v>377</v>
      </c>
      <c r="B19" s="93" t="s">
        <v>372</v>
      </c>
      <c r="C19" s="52" t="n">
        <v>0.015</v>
      </c>
      <c r="D19" s="52" t="n">
        <v>0.04</v>
      </c>
      <c r="E19" s="93" t="s">
        <v>373</v>
      </c>
      <c r="F19" s="93" t="s">
        <v>373</v>
      </c>
      <c r="G19" s="93" t="s">
        <v>373</v>
      </c>
      <c r="H19" s="63" t="s">
        <v>378</v>
      </c>
    </row>
    <row r="20" customFormat="false" ht="15" hidden="false" customHeight="true" outlineLevel="0" collapsed="false">
      <c r="A20" s="49" t="s">
        <v>379</v>
      </c>
      <c r="B20" s="93" t="s">
        <v>372</v>
      </c>
      <c r="C20" s="52" t="n">
        <v>0.015</v>
      </c>
      <c r="D20" s="52" t="n">
        <v>0.07</v>
      </c>
      <c r="E20" s="93" t="s">
        <v>373</v>
      </c>
      <c r="F20" s="93" t="s">
        <v>373</v>
      </c>
      <c r="G20" s="93" t="s">
        <v>373</v>
      </c>
      <c r="H20" s="63" t="s">
        <v>380</v>
      </c>
    </row>
    <row r="21" customFormat="false" ht="23.25" hidden="false" customHeight="true" outlineLevel="0" collapsed="false">
      <c r="A21" s="49" t="s">
        <v>381</v>
      </c>
      <c r="B21" s="93" t="s">
        <v>372</v>
      </c>
      <c r="C21" s="52" t="n">
        <v>0.005</v>
      </c>
      <c r="D21" s="52" t="n">
        <v>0.05</v>
      </c>
      <c r="E21" s="93" t="s">
        <v>373</v>
      </c>
      <c r="F21" s="93" t="s">
        <v>373</v>
      </c>
      <c r="G21" s="93" t="s">
        <v>373</v>
      </c>
      <c r="H21" s="63" t="s">
        <v>382</v>
      </c>
    </row>
    <row r="22" customFormat="false" ht="15" hidden="false" customHeight="true" outlineLevel="0" collapsed="false">
      <c r="A22" s="49" t="s">
        <v>383</v>
      </c>
      <c r="B22" s="93" t="s">
        <v>384</v>
      </c>
      <c r="C22" s="93" t="s">
        <v>373</v>
      </c>
      <c r="D22" s="93" t="s">
        <v>373</v>
      </c>
      <c r="E22" s="56" t="n">
        <v>0.3</v>
      </c>
      <c r="F22" s="56" t="n">
        <v>-0.12</v>
      </c>
      <c r="G22" s="56" t="n">
        <v>0.05</v>
      </c>
      <c r="H22" s="63" t="s">
        <v>385</v>
      </c>
    </row>
    <row r="23" customFormat="false" ht="15" hidden="false" customHeight="true" outlineLevel="0" collapsed="false">
      <c r="A23" s="49" t="s">
        <v>386</v>
      </c>
      <c r="B23" s="93" t="s">
        <v>384</v>
      </c>
      <c r="C23" s="93" t="s">
        <v>373</v>
      </c>
      <c r="D23" s="93" t="s">
        <v>373</v>
      </c>
      <c r="E23" s="56" t="n">
        <v>0.3</v>
      </c>
      <c r="F23" s="56" t="n">
        <v>0.06</v>
      </c>
      <c r="G23" s="56" t="n">
        <v>0.04</v>
      </c>
      <c r="H23" s="63" t="s">
        <v>387</v>
      </c>
    </row>
    <row r="24" customFormat="false" ht="15" hidden="false" customHeight="true" outlineLevel="0" collapsed="false">
      <c r="A24" s="49" t="s">
        <v>388</v>
      </c>
      <c r="B24" s="93" t="s">
        <v>384</v>
      </c>
      <c r="C24" s="93" t="s">
        <v>373</v>
      </c>
      <c r="D24" s="93" t="s">
        <v>373</v>
      </c>
      <c r="E24" s="56" t="n">
        <v>0.55</v>
      </c>
      <c r="F24" s="56" t="n">
        <v>0.08</v>
      </c>
      <c r="G24" s="56" t="n">
        <v>0.04</v>
      </c>
      <c r="H24" s="63" t="s">
        <v>389</v>
      </c>
    </row>
    <row r="25" customFormat="false" ht="15" hidden="false" customHeight="true" outlineLevel="0" collapsed="false">
      <c r="A25" s="49" t="s">
        <v>390</v>
      </c>
      <c r="B25" s="93" t="s">
        <v>384</v>
      </c>
      <c r="C25" s="93" t="s">
        <v>373</v>
      </c>
      <c r="D25" s="93" t="s">
        <v>373</v>
      </c>
      <c r="E25" s="56" t="n">
        <v>0.45</v>
      </c>
      <c r="F25" s="56" t="n">
        <v>0.04</v>
      </c>
      <c r="G25" s="56" t="n">
        <v>0.06</v>
      </c>
      <c r="H25" s="63" t="s">
        <v>391</v>
      </c>
    </row>
    <row r="26" customFormat="false" ht="15" hidden="false" customHeight="true" outlineLevel="0" collapsed="false">
      <c r="A26" s="49" t="s">
        <v>392</v>
      </c>
      <c r="B26" s="93" t="s">
        <v>384</v>
      </c>
      <c r="C26" s="93" t="s">
        <v>373</v>
      </c>
      <c r="D26" s="93" t="s">
        <v>373</v>
      </c>
      <c r="E26" s="56" t="n">
        <v>0.35</v>
      </c>
      <c r="F26" s="56" t="n">
        <v>0.02</v>
      </c>
      <c r="G26" s="56" t="n">
        <v>0.05</v>
      </c>
      <c r="H26" s="63" t="s">
        <v>393</v>
      </c>
    </row>
    <row r="28" customFormat="false" ht="15" hidden="false" customHeight="true" outlineLevel="0" collapsed="false">
      <c r="A28" s="61" t="s">
        <v>394</v>
      </c>
    </row>
    <row r="29" customFormat="false" ht="15" hidden="false" customHeight="true" outlineLevel="0" collapsed="false">
      <c r="A29" s="21" t="s">
        <v>395</v>
      </c>
      <c r="B29" s="94" t="n">
        <f aca="false">SUM(C17:C21)+SUMPRODUCT(E22:E26,F22:F26)</f>
        <v>0.081</v>
      </c>
    </row>
    <row r="30" customFormat="false" ht="15" hidden="false" customHeight="true" outlineLevel="0" collapsed="false">
      <c r="A30" s="21" t="s">
        <v>396</v>
      </c>
      <c r="B30" s="94" t="n">
        <f aca="false">SUMSQ(D17:D21)+B8^2+SUMPRODUCT(E22:E26,G22:G26^2)+SUMPRODUCT(E22:E26,(1-E22:E26),F22:F26^2)</f>
        <v>0.038056</v>
      </c>
    </row>
    <row r="31" customFormat="false" ht="15" hidden="false" customHeight="true" outlineLevel="0" collapsed="false">
      <c r="A31" s="21" t="s">
        <v>397</v>
      </c>
      <c r="B31" s="94" t="n">
        <f aca="false">SQRT(B30)</f>
        <v>0.195079470985545</v>
      </c>
    </row>
    <row r="32" customFormat="false" ht="15" hidden="false" customHeight="true" outlineLevel="0" collapsed="false">
      <c r="A32" s="21" t="s">
        <v>398</v>
      </c>
      <c r="B32" s="95" t="n">
        <f aca="false">B31*2</f>
        <v>0.39015894197109</v>
      </c>
      <c r="C32" s="96" t="s">
        <v>399</v>
      </c>
    </row>
    <row r="34" customFormat="false" ht="15" hidden="false" customHeight="true" outlineLevel="0" collapsed="false">
      <c r="A34" s="61" t="s">
        <v>400</v>
      </c>
    </row>
    <row r="35" customFormat="false" ht="15" hidden="false" customHeight="true" outlineLevel="0" collapsed="false">
      <c r="A35" s="47" t="s">
        <v>401</v>
      </c>
      <c r="B35" s="48" t="s">
        <v>402</v>
      </c>
      <c r="C35" s="48" t="s">
        <v>403</v>
      </c>
      <c r="D35" s="48" t="s">
        <v>404</v>
      </c>
      <c r="E35" s="48" t="s">
        <v>405</v>
      </c>
      <c r="F35" s="48" t="s">
        <v>406</v>
      </c>
      <c r="H35" s="47" t="s">
        <v>407</v>
      </c>
    </row>
    <row r="36" customFormat="false" ht="15" hidden="false" customHeight="true" outlineLevel="0" collapsed="false">
      <c r="A36" s="49" t="s">
        <v>408</v>
      </c>
      <c r="B36" s="54" t="n">
        <f aca="false">B5*EXP(B29*20/60+-1.6449*B31*SQRT(20/60))</f>
        <v>82.6308624154664</v>
      </c>
      <c r="C36" s="54" t="n">
        <f aca="false">B5*EXP(B29*20/60+-0.6745*B31*SQRT(20/60))</f>
        <v>92.1740473598194</v>
      </c>
      <c r="D36" s="54" t="n">
        <f aca="false">B5*EXP(B29*20/60+0*B31*SQRT(20/60))</f>
        <v>99.4492033075058</v>
      </c>
      <c r="E36" s="54" t="n">
        <f aca="false">B5*EXP(B29*20/60+0.6745*B31*SQRT(20/60))</f>
        <v>107.29857613705</v>
      </c>
      <c r="F36" s="54" t="n">
        <f aca="false">B5*EXP(B29*20/60+1.6449*B31*SQRT(20/60))</f>
        <v>119.690679116601</v>
      </c>
    </row>
    <row r="37" customFormat="false" ht="15" hidden="false" customHeight="true" outlineLevel="0" collapsed="false">
      <c r="A37" s="58" t="s">
        <v>409</v>
      </c>
      <c r="B37" s="60" t="n">
        <v>82.37</v>
      </c>
      <c r="C37" s="60" t="n">
        <v>92.24</v>
      </c>
      <c r="D37" s="60" t="n">
        <v>99.46</v>
      </c>
      <c r="E37" s="60" t="n">
        <v>107.34</v>
      </c>
      <c r="F37" s="60" t="n">
        <v>120.63</v>
      </c>
      <c r="H37" s="97" t="s">
        <v>410</v>
      </c>
    </row>
    <row r="38" customFormat="false" ht="15" hidden="false" customHeight="true" outlineLevel="0" collapsed="false">
      <c r="A38" s="49" t="s">
        <v>411</v>
      </c>
      <c r="B38" s="54" t="n">
        <f aca="false">B5*EXP(B29*1+-1.6449*B31*SQRT(1))</f>
        <v>76.154241148978</v>
      </c>
      <c r="C38" s="54" t="n">
        <f aca="false">B5*EXP(B29*1+-0.6745*B31*SQRT(1))</f>
        <v>92.0255164308131</v>
      </c>
      <c r="D38" s="54" t="n">
        <f aca="false">B5*EXP(B29*1+0*B31*SQRT(1))</f>
        <v>104.967102787662</v>
      </c>
      <c r="E38" s="54" t="n">
        <f aca="false">B5*EXP(B29*1+0.6745*B31*SQRT(1))</f>
        <v>119.728669775185</v>
      </c>
      <c r="F38" s="54" t="n">
        <f aca="false">B5*EXP(B29*1+1.6449*B31*SQRT(1))</f>
        <v>144.681274495026</v>
      </c>
    </row>
    <row r="39" customFormat="false" ht="15" hidden="false" customHeight="true" outlineLevel="0" collapsed="false">
      <c r="A39" s="58" t="s">
        <v>412</v>
      </c>
      <c r="B39" s="60" t="n">
        <v>76.47</v>
      </c>
      <c r="C39" s="60" t="n">
        <v>92.27</v>
      </c>
      <c r="D39" s="60" t="n">
        <v>105.14</v>
      </c>
      <c r="E39" s="60" t="n">
        <v>119.8</v>
      </c>
      <c r="F39" s="60" t="n">
        <v>144.42</v>
      </c>
      <c r="H39" s="97" t="s">
        <v>410</v>
      </c>
    </row>
    <row r="40" customFormat="false" ht="15" hidden="false" customHeight="true" outlineLevel="0" collapsed="false">
      <c r="A40" s="21" t="s">
        <v>413</v>
      </c>
      <c r="B40" s="80" t="n">
        <f aca="false">D38-D39</f>
        <v>-0.172897212337588</v>
      </c>
    </row>
    <row r="42" customFormat="false" ht="15" hidden="false" customHeight="true" outlineLevel="0" collapsed="false">
      <c r="A42" s="61" t="s">
        <v>414</v>
      </c>
    </row>
    <row r="43" customFormat="false" ht="15" hidden="false" customHeight="true" outlineLevel="0" collapsed="false">
      <c r="B43" s="48" t="s">
        <v>415</v>
      </c>
      <c r="C43" s="48" t="s">
        <v>416</v>
      </c>
    </row>
    <row r="44" customFormat="false" ht="15" hidden="false" customHeight="true" outlineLevel="0" collapsed="false">
      <c r="A44" s="21" t="s">
        <v>417</v>
      </c>
      <c r="B44" s="98" t="n">
        <f aca="false">NORMSDIST((LN(B9/B5)-B29)/B31)</f>
        <v>0.249545229252254</v>
      </c>
      <c r="C44" s="99" t="n">
        <v>0.24</v>
      </c>
    </row>
    <row r="45" customFormat="false" ht="15" hidden="false" customHeight="true" outlineLevel="0" collapsed="false">
      <c r="A45" s="21" t="s">
        <v>418</v>
      </c>
      <c r="B45" s="98" t="n">
        <f aca="false">NORMSDIST((LN(B10/B5)-B29)/B31)-NORMSDIST((LN(B9/B5)-B29)/B31)</f>
        <v>0.152329428726041</v>
      </c>
      <c r="C45" s="99" t="n">
        <v>0.15</v>
      </c>
    </row>
    <row r="46" customFormat="false" ht="15" hidden="false" customHeight="true" outlineLevel="0" collapsed="false">
      <c r="A46" s="21" t="s">
        <v>419</v>
      </c>
      <c r="B46" s="98" t="n">
        <f aca="false">NORMSDIST((LN(B11/B5)-B29)/B31)-NORMSDIST((LN(B10/B5)-B29)/B31)</f>
        <v>0.4235422252534</v>
      </c>
      <c r="C46" s="99" t="n">
        <v>0.43</v>
      </c>
    </row>
    <row r="47" customFormat="false" ht="15" hidden="false" customHeight="true" outlineLevel="0" collapsed="false">
      <c r="A47" s="21" t="s">
        <v>420</v>
      </c>
      <c r="B47" s="98" t="n">
        <f aca="false">1-NORMSDIST((LN(B11/B5)-B29)/B31)</f>
        <v>0.174583116768306</v>
      </c>
      <c r="C47" s="99" t="n">
        <v>0.17</v>
      </c>
    </row>
    <row r="49" customFormat="false" ht="15" hidden="false" customHeight="true" outlineLevel="0" collapsed="false">
      <c r="A49" s="61" t="s">
        <v>421</v>
      </c>
    </row>
    <row r="50" customFormat="false" ht="15" hidden="false" customHeight="true" outlineLevel="0" collapsed="false">
      <c r="A50" s="47" t="s">
        <v>422</v>
      </c>
      <c r="B50" s="48" t="s">
        <v>423</v>
      </c>
      <c r="C50" s="48" t="s">
        <v>424</v>
      </c>
    </row>
    <row r="51" customFormat="false" ht="15" hidden="false" customHeight="true" outlineLevel="0" collapsed="false">
      <c r="A51" s="100" t="n">
        <v>100</v>
      </c>
      <c r="B51" s="101" t="n">
        <v>0.73</v>
      </c>
      <c r="C51" s="101" t="n">
        <v>0.88</v>
      </c>
    </row>
    <row r="52" customFormat="false" ht="15" hidden="false" customHeight="true" outlineLevel="0" collapsed="false">
      <c r="A52" s="100" t="n">
        <v>110</v>
      </c>
      <c r="B52" s="101" t="n">
        <v>0.28</v>
      </c>
      <c r="C52" s="101" t="n">
        <v>0.61</v>
      </c>
    </row>
    <row r="53" customFormat="false" ht="15" hidden="false" customHeight="true" outlineLevel="0" collapsed="false">
      <c r="A53" s="100" t="n">
        <v>118</v>
      </c>
      <c r="B53" s="101" t="n">
        <v>0.1</v>
      </c>
      <c r="C53" s="101" t="n">
        <v>0.42</v>
      </c>
    </row>
    <row r="54" customFormat="false" ht="15" hidden="false" customHeight="true" outlineLevel="0" collapsed="false">
      <c r="A54" s="100" t="n">
        <v>126</v>
      </c>
      <c r="B54" s="101" t="n">
        <v>0.03</v>
      </c>
      <c r="C54" s="101" t="n">
        <v>0.27</v>
      </c>
    </row>
    <row r="55" customFormat="false" ht="15" hidden="false" customHeight="true" outlineLevel="0" collapsed="false">
      <c r="A55" s="100" t="n">
        <v>137</v>
      </c>
      <c r="B55" s="101" t="n">
        <v>0.01</v>
      </c>
      <c r="C55" s="101" t="n">
        <v>0.13</v>
      </c>
    </row>
    <row r="56" customFormat="false" ht="15" hidden="false" customHeight="true" outlineLevel="0" collapsed="false">
      <c r="A56" s="49" t="s">
        <v>425</v>
      </c>
      <c r="B56" s="101" t="n">
        <v>0.25</v>
      </c>
      <c r="C56" s="101" t="n">
        <v>0.44</v>
      </c>
    </row>
    <row r="57" customFormat="false" ht="15" hidden="false" customHeight="true" outlineLevel="0" collapsed="false">
      <c r="A57" s="49" t="s">
        <v>426</v>
      </c>
      <c r="B57" s="101" t="n">
        <v>0.09</v>
      </c>
      <c r="C57" s="101" t="n">
        <v>0.26</v>
      </c>
    </row>
    <row r="58" customFormat="false" ht="25.5" hidden="false" customHeight="true" outlineLevel="0" collapsed="false">
      <c r="A58" s="46" t="s">
        <v>427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2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14"/>
    <col collapsed="false" customWidth="true" hidden="false" outlineLevel="0" max="6" min="2" style="1" width="12"/>
  </cols>
  <sheetData>
    <row r="1" customFormat="false" ht="15.75" hidden="false" customHeight="true" outlineLevel="0" collapsed="false">
      <c r="A1" s="6" t="s">
        <v>428</v>
      </c>
      <c r="B1" s="7"/>
      <c r="C1" s="7"/>
      <c r="D1" s="7"/>
      <c r="E1" s="7"/>
      <c r="F1" s="7"/>
      <c r="G1" s="7"/>
      <c r="H1" s="7"/>
    </row>
    <row r="2" customFormat="false" ht="15" hidden="false" customHeight="true" outlineLevel="0" collapsed="false">
      <c r="A2" s="8" t="s">
        <v>429</v>
      </c>
      <c r="B2" s="7"/>
      <c r="C2" s="7"/>
      <c r="D2" s="7"/>
      <c r="E2" s="7"/>
      <c r="F2" s="7"/>
      <c r="G2" s="7"/>
      <c r="H2" s="7"/>
    </row>
    <row r="3" customFormat="false" ht="15" hidden="false" customHeight="true" outlineLevel="0" collapsed="false">
      <c r="A3" s="38" t="s">
        <v>430</v>
      </c>
    </row>
    <row r="4" customFormat="false" ht="15" hidden="false" customHeight="true" outlineLevel="0" collapsed="false">
      <c r="B4" s="10" t="s">
        <v>431</v>
      </c>
    </row>
    <row r="5" customFormat="false" ht="15" hidden="false" customHeight="true" outlineLevel="0" collapsed="false">
      <c r="A5" s="27" t="s">
        <v>432</v>
      </c>
      <c r="B5" s="102" t="n">
        <v>0.05</v>
      </c>
      <c r="C5" s="102" t="n">
        <v>0.1</v>
      </c>
      <c r="D5" s="102" t="n">
        <v>0.15</v>
      </c>
      <c r="E5" s="102" t="n">
        <v>0.2</v>
      </c>
      <c r="F5" s="102" t="n">
        <v>0.25</v>
      </c>
    </row>
    <row r="6" customFormat="false" ht="15" hidden="false" customHeight="true" outlineLevel="0" collapsed="false">
      <c r="A6" s="103" t="n">
        <v>0.16</v>
      </c>
      <c r="B6" s="104" t="n">
        <v>190.68</v>
      </c>
      <c r="C6" s="104" t="n">
        <v>197.13</v>
      </c>
      <c r="D6" s="104" t="n">
        <v>203.58</v>
      </c>
      <c r="E6" s="104" t="n">
        <v>210.03</v>
      </c>
      <c r="F6" s="104" t="n">
        <v>216.48</v>
      </c>
    </row>
    <row r="7" customFormat="false" ht="15" hidden="false" customHeight="true" outlineLevel="0" collapsed="false">
      <c r="A7" s="103" t="n">
        <v>0.18</v>
      </c>
      <c r="B7" s="104" t="n">
        <v>172.21</v>
      </c>
      <c r="C7" s="105" t="n">
        <v>178.53</v>
      </c>
      <c r="D7" s="104" t="n">
        <v>184.85</v>
      </c>
      <c r="E7" s="104" t="n">
        <v>191.17</v>
      </c>
      <c r="F7" s="104" t="n">
        <v>197.49</v>
      </c>
    </row>
    <row r="8" customFormat="false" ht="15" hidden="false" customHeight="true" outlineLevel="0" collapsed="false">
      <c r="A8" s="103" t="n">
        <v>0.2</v>
      </c>
      <c r="B8" s="104" t="n">
        <v>157.76</v>
      </c>
      <c r="C8" s="104" t="n">
        <v>163.9</v>
      </c>
      <c r="D8" s="104" t="n">
        <v>170.05</v>
      </c>
      <c r="E8" s="104" t="n">
        <v>176.2</v>
      </c>
      <c r="F8" s="104" t="n">
        <v>182.35</v>
      </c>
    </row>
    <row r="9" customFormat="false" ht="15" hidden="false" customHeight="true" outlineLevel="0" collapsed="false">
      <c r="A9" s="103" t="n">
        <v>0.22</v>
      </c>
      <c r="B9" s="104" t="n">
        <v>146.16</v>
      </c>
      <c r="C9" s="104" t="n">
        <v>152.11</v>
      </c>
      <c r="D9" s="104" t="n">
        <v>158.07</v>
      </c>
      <c r="E9" s="104" t="n">
        <v>164.02</v>
      </c>
      <c r="F9" s="104" t="n">
        <v>169.97</v>
      </c>
    </row>
    <row r="10" customFormat="false" ht="15" hidden="false" customHeight="true" outlineLevel="0" collapsed="false">
      <c r="A10" s="103" t="n">
        <v>0.24</v>
      </c>
      <c r="B10" s="104" t="n">
        <v>136.69</v>
      </c>
      <c r="C10" s="104" t="n">
        <v>142.44</v>
      </c>
      <c r="D10" s="104" t="n">
        <v>148.18</v>
      </c>
      <c r="E10" s="104" t="n">
        <v>153.93</v>
      </c>
      <c r="F10" s="104" t="n">
        <v>159.67</v>
      </c>
    </row>
    <row r="13" customFormat="false" ht="15" hidden="false" customHeight="true" outlineLevel="0" collapsed="false">
      <c r="A13" s="38" t="s">
        <v>433</v>
      </c>
    </row>
    <row r="14" customFormat="false" ht="15" hidden="false" customHeight="true" outlineLevel="0" collapsed="false">
      <c r="B14" s="10" t="s">
        <v>434</v>
      </c>
    </row>
    <row r="15" customFormat="false" ht="15" hidden="false" customHeight="true" outlineLevel="0" collapsed="false">
      <c r="A15" s="27" t="s">
        <v>432</v>
      </c>
      <c r="B15" s="106" t="n">
        <v>0.85</v>
      </c>
      <c r="C15" s="106" t="n">
        <v>0.925</v>
      </c>
      <c r="D15" s="106" t="n">
        <v>1</v>
      </c>
      <c r="E15" s="106" t="n">
        <v>1.075</v>
      </c>
      <c r="F15" s="106" t="n">
        <v>1.15</v>
      </c>
    </row>
    <row r="16" customFormat="false" ht="15" hidden="false" customHeight="true" outlineLevel="0" collapsed="false">
      <c r="A16" s="103" t="n">
        <v>0.16</v>
      </c>
      <c r="B16" s="104" t="n">
        <v>179.34</v>
      </c>
      <c r="C16" s="104" t="n">
        <v>188.62</v>
      </c>
      <c r="D16" s="104" t="n">
        <v>197.13</v>
      </c>
      <c r="E16" s="104" t="n">
        <v>205</v>
      </c>
      <c r="F16" s="104" t="n">
        <v>212.87</v>
      </c>
    </row>
    <row r="17" customFormat="false" ht="15" hidden="false" customHeight="true" outlineLevel="0" collapsed="false">
      <c r="A17" s="103" t="n">
        <v>0.18</v>
      </c>
      <c r="B17" s="104" t="n">
        <v>163.33</v>
      </c>
      <c r="C17" s="104" t="n">
        <v>171.25</v>
      </c>
      <c r="D17" s="105" t="n">
        <v>178.53</v>
      </c>
      <c r="E17" s="104" t="n">
        <v>185.28</v>
      </c>
      <c r="F17" s="104" t="n">
        <v>192.02</v>
      </c>
    </row>
    <row r="18" customFormat="false" ht="15" hidden="false" customHeight="true" outlineLevel="0" collapsed="false">
      <c r="A18" s="103" t="n">
        <v>0.2</v>
      </c>
      <c r="B18" s="104" t="n">
        <v>150.84</v>
      </c>
      <c r="C18" s="104" t="n">
        <v>157.64</v>
      </c>
      <c r="D18" s="104" t="n">
        <v>163.9</v>
      </c>
      <c r="E18" s="104" t="n">
        <v>169.73</v>
      </c>
      <c r="F18" s="104" t="n">
        <v>175.55</v>
      </c>
    </row>
    <row r="19" customFormat="false" ht="15" hidden="false" customHeight="true" outlineLevel="0" collapsed="false">
      <c r="A19" s="103" t="n">
        <v>0.22</v>
      </c>
      <c r="B19" s="104" t="n">
        <v>140.81</v>
      </c>
      <c r="C19" s="104" t="n">
        <v>146.69</v>
      </c>
      <c r="D19" s="104" t="n">
        <v>152.11</v>
      </c>
      <c r="E19" s="104" t="n">
        <v>157.17</v>
      </c>
      <c r="F19" s="104" t="n">
        <v>162.23</v>
      </c>
    </row>
    <row r="20" customFormat="false" ht="15" hidden="false" customHeight="true" outlineLevel="0" collapsed="false">
      <c r="A20" s="103" t="n">
        <v>0.24</v>
      </c>
      <c r="B20" s="104" t="n">
        <v>132.61</v>
      </c>
      <c r="C20" s="104" t="n">
        <v>137.71</v>
      </c>
      <c r="D20" s="104" t="n">
        <v>142.44</v>
      </c>
      <c r="E20" s="104" t="n">
        <v>146.85</v>
      </c>
      <c r="F20" s="104" t="n">
        <v>151.27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120"/>
    <col collapsed="false" customWidth="true" hidden="false" outlineLevel="0" max="3" min="2" style="1" width="14"/>
  </cols>
  <sheetData>
    <row r="1" customFormat="false" ht="15.75" hidden="false" customHeight="true" outlineLevel="0" collapsed="false">
      <c r="A1" s="6" t="s">
        <v>17</v>
      </c>
      <c r="B1" s="7"/>
      <c r="C1" s="7"/>
      <c r="D1" s="7"/>
      <c r="E1" s="7"/>
      <c r="F1" s="7"/>
    </row>
    <row r="2" customFormat="false" ht="15" hidden="false" customHeight="true" outlineLevel="0" collapsed="false">
      <c r="A2" s="8" t="s">
        <v>18</v>
      </c>
      <c r="B2" s="7"/>
      <c r="C2" s="7"/>
      <c r="D2" s="7"/>
      <c r="E2" s="7"/>
      <c r="F2" s="7"/>
    </row>
    <row r="4" customFormat="false" ht="15" hidden="false" customHeight="true" outlineLevel="0" collapsed="false">
      <c r="A4" s="9" t="s">
        <v>19</v>
      </c>
    </row>
    <row r="5" customFormat="false" ht="15" hidden="false" customHeight="true" outlineLevel="0" collapsed="false">
      <c r="A5" s="10" t="s">
        <v>20</v>
      </c>
      <c r="B5" s="11" t="n">
        <f aca="false">Valuation!D43</f>
        <v>147.118351578377</v>
      </c>
    </row>
    <row r="6" customFormat="false" ht="15" hidden="false" customHeight="true" outlineLevel="0" collapsed="false">
      <c r="A6" s="10" t="s">
        <v>21</v>
      </c>
      <c r="B6" s="12" t="n">
        <f aca="false">Valuation!B43</f>
        <v>189.576318514838</v>
      </c>
    </row>
    <row r="7" customFormat="false" ht="15" hidden="false" customHeight="true" outlineLevel="0" collapsed="false">
      <c r="A7" s="10" t="s">
        <v>22</v>
      </c>
      <c r="B7" s="13" t="n">
        <f aca="false">Valuation!D42+Valuation!D36+Valuation!D38+Valuation!D39+Valuation!D41</f>
        <v>83.5577295783769</v>
      </c>
    </row>
    <row r="8" customFormat="false" ht="15" hidden="false" customHeight="true" outlineLevel="0" collapsed="false">
      <c r="A8" s="10" t="s">
        <v>23</v>
      </c>
      <c r="B8" s="14" t="n">
        <f aca="false">Valuation!B19</f>
        <v>196.511662205255</v>
      </c>
      <c r="C8" s="14" t="n">
        <f aca="false">Valuation!B43*0.6</f>
        <v>113.745791108903</v>
      </c>
      <c r="D8" s="15" t="n">
        <v>96.8</v>
      </c>
    </row>
    <row r="10" customFormat="false" ht="15" hidden="false" customHeight="true" outlineLevel="0" collapsed="false">
      <c r="A10" s="9" t="s">
        <v>24</v>
      </c>
    </row>
    <row r="11" customFormat="false" ht="15" hidden="false" customHeight="true" outlineLevel="0" collapsed="false">
      <c r="A11" s="10" t="s">
        <v>25</v>
      </c>
      <c r="B11" s="16" t="n">
        <f aca="false">Assumptions!$B$10</f>
        <v>0.18</v>
      </c>
    </row>
    <row r="12" customFormat="false" ht="15" hidden="false" customHeight="true" outlineLevel="0" collapsed="false">
      <c r="A12" s="10" t="s">
        <v>26</v>
      </c>
      <c r="B12" s="16" t="n">
        <f aca="false">Assumptions!$B$14</f>
        <v>0.1</v>
      </c>
    </row>
    <row r="13" customFormat="false" ht="15" hidden="false" customHeight="true" outlineLevel="0" collapsed="false">
      <c r="A13" s="10" t="s">
        <v>27</v>
      </c>
      <c r="B13" s="16" t="n">
        <f aca="false">Assumptions!$B$13</f>
        <v>0.14</v>
      </c>
    </row>
    <row r="14" customFormat="false" ht="15" hidden="false" customHeight="true" outlineLevel="0" collapsed="false">
      <c r="A14" s="10" t="s">
        <v>28</v>
      </c>
      <c r="B14" s="17" t="n">
        <f aca="false">Assumptions!$B$5</f>
        <v>71.9</v>
      </c>
    </row>
    <row r="15" customFormat="false" ht="15" hidden="false" customHeight="true" outlineLevel="0" collapsed="false">
      <c r="A15" s="10" t="s">
        <v>29</v>
      </c>
      <c r="B15" s="16" t="n">
        <f aca="false">Assumptions!$B$28</f>
        <v>0.405</v>
      </c>
    </row>
    <row r="16" customFormat="false" ht="15" hidden="false" customHeight="true" outlineLevel="0" collapsed="false">
      <c r="A16" s="10" t="s">
        <v>30</v>
      </c>
      <c r="B16" s="17" t="n">
        <f aca="false">SUM('Income Statement'!C4:Y4)</f>
        <v>2244.4645</v>
      </c>
      <c r="C16" s="17" t="n">
        <f aca="false">SUM('Income Statement'!C18:Y18)</f>
        <v>168.894498375</v>
      </c>
    </row>
    <row r="18" customFormat="false" ht="15" hidden="false" customHeight="true" outlineLevel="0" collapsed="false">
      <c r="A18" s="9" t="s">
        <v>31</v>
      </c>
    </row>
    <row r="19" customFormat="false" ht="15" hidden="false" customHeight="true" outlineLevel="0" collapsed="false">
      <c r="A19" s="10" t="s">
        <v>32</v>
      </c>
    </row>
    <row r="20" customFormat="false" ht="15" hidden="false" customHeight="true" outlineLevel="0" collapsed="false">
      <c r="A20" s="10" t="s">
        <v>33</v>
      </c>
    </row>
    <row r="21" customFormat="false" ht="15" hidden="false" customHeight="true" outlineLevel="0" collapsed="false">
      <c r="A21" s="10" t="s">
        <v>34</v>
      </c>
    </row>
    <row r="22" customFormat="false" ht="15" hidden="false" customHeight="true" outlineLevel="0" collapsed="false">
      <c r="A22" s="10" t="s">
        <v>35</v>
      </c>
    </row>
    <row r="23" customFormat="false" ht="15" hidden="false" customHeight="true" outlineLevel="0" collapsed="false">
      <c r="A23" s="10" t="s">
        <v>36</v>
      </c>
    </row>
    <row r="24" customFormat="false" ht="15" hidden="false" customHeight="true" outlineLevel="0" collapsed="false">
      <c r="A24" s="10" t="s">
        <v>37</v>
      </c>
    </row>
    <row r="25" customFormat="false" ht="15" hidden="false" customHeight="true" outlineLevel="0" collapsed="false">
      <c r="A25" s="10" t="s">
        <v>38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9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0"/>
    <col collapsed="false" customWidth="true" hidden="false" outlineLevel="0" max="2" min="2" style="1" width="26"/>
    <col collapsed="false" customWidth="true" hidden="false" outlineLevel="0" max="12" min="3" style="1" width="12"/>
  </cols>
  <sheetData>
    <row r="1" customFormat="false" ht="15.75" hidden="false" customHeight="true" outlineLevel="0" collapsed="false">
      <c r="A1" s="6" t="s">
        <v>39</v>
      </c>
      <c r="B1" s="7"/>
      <c r="C1" s="7"/>
      <c r="D1" s="7"/>
      <c r="E1" s="7"/>
      <c r="F1" s="7"/>
      <c r="G1" s="7"/>
      <c r="H1" s="7"/>
      <c r="I1" s="7"/>
      <c r="J1" s="7"/>
      <c r="K1" s="7"/>
      <c r="L1" s="7"/>
    </row>
    <row r="2" customFormat="false" ht="15" hidden="false" customHeight="true" outlineLevel="0" collapsed="false">
      <c r="A2" s="8" t="s">
        <v>40</v>
      </c>
      <c r="B2" s="7"/>
      <c r="C2" s="7"/>
      <c r="D2" s="7"/>
      <c r="E2" s="7"/>
      <c r="F2" s="7"/>
      <c r="G2" s="7"/>
      <c r="H2" s="7"/>
      <c r="I2" s="7"/>
      <c r="J2" s="7"/>
      <c r="K2" s="7"/>
      <c r="L2" s="7"/>
    </row>
    <row r="3" customFormat="false" ht="15" hidden="false" customHeight="true" outlineLevel="0" collapsed="false">
      <c r="A3" s="9" t="s">
        <v>41</v>
      </c>
    </row>
    <row r="4" customFormat="false" ht="15" hidden="false" customHeight="true" outlineLevel="0" collapsed="false">
      <c r="A4" s="10" t="s">
        <v>42</v>
      </c>
      <c r="B4" s="18" t="n">
        <v>2.0607</v>
      </c>
    </row>
    <row r="5" customFormat="false" ht="15" hidden="false" customHeight="true" outlineLevel="0" collapsed="false">
      <c r="A5" s="10" t="s">
        <v>43</v>
      </c>
      <c r="B5" s="19" t="n">
        <v>71.9</v>
      </c>
    </row>
    <row r="6" customFormat="false" ht="15" hidden="false" customHeight="true" outlineLevel="0" collapsed="false">
      <c r="A6" s="10" t="s">
        <v>44</v>
      </c>
      <c r="B6" s="19" t="n">
        <v>14.8</v>
      </c>
    </row>
    <row r="7" customFormat="false" ht="15" hidden="false" customHeight="true" outlineLevel="0" collapsed="false">
      <c r="A7" s="10" t="s">
        <v>45</v>
      </c>
      <c r="B7" s="19" t="n">
        <v>86.7</v>
      </c>
    </row>
    <row r="8" customFormat="false" ht="15" hidden="false" customHeight="true" outlineLevel="0" collapsed="false">
      <c r="A8" s="10" t="s">
        <v>46</v>
      </c>
      <c r="B8" s="19" t="n">
        <v>157.7</v>
      </c>
    </row>
    <row r="9" customFormat="false" ht="15" hidden="false" customHeight="true" outlineLevel="0" collapsed="false">
      <c r="A9" s="10" t="s">
        <v>47</v>
      </c>
      <c r="B9" s="19" t="n">
        <v>436.2</v>
      </c>
    </row>
    <row r="10" customFormat="false" ht="15" hidden="false" customHeight="true" outlineLevel="0" collapsed="false">
      <c r="A10" s="10" t="s">
        <v>48</v>
      </c>
      <c r="B10" s="20" t="n">
        <v>0.18</v>
      </c>
    </row>
    <row r="11" customFormat="false" ht="15" hidden="false" customHeight="true" outlineLevel="0" collapsed="false">
      <c r="A11" s="10" t="s">
        <v>49</v>
      </c>
      <c r="B11" s="20" t="n">
        <v>0.225</v>
      </c>
    </row>
    <row r="12" customFormat="false" ht="15" hidden="false" customHeight="true" outlineLevel="0" collapsed="false">
      <c r="A12" s="10" t="s">
        <v>50</v>
      </c>
      <c r="B12" s="20" t="n">
        <v>0.18</v>
      </c>
    </row>
    <row r="13" customFormat="false" ht="15" hidden="false" customHeight="true" outlineLevel="0" collapsed="false">
      <c r="A13" s="10" t="s">
        <v>27</v>
      </c>
      <c r="B13" s="20" t="n">
        <v>0.14</v>
      </c>
    </row>
    <row r="14" customFormat="false" ht="15" hidden="false" customHeight="true" outlineLevel="0" collapsed="false">
      <c r="A14" s="10" t="s">
        <v>51</v>
      </c>
      <c r="B14" s="20" t="n">
        <v>0.1</v>
      </c>
    </row>
    <row r="15" customFormat="false" ht="15" hidden="false" customHeight="true" outlineLevel="0" collapsed="false">
      <c r="A15" s="10" t="s">
        <v>52</v>
      </c>
      <c r="B15" s="20" t="n">
        <v>0.45</v>
      </c>
    </row>
    <row r="16" customFormat="false" ht="15" hidden="false" customHeight="true" outlineLevel="0" collapsed="false">
      <c r="A16" s="10" t="s">
        <v>53</v>
      </c>
      <c r="B16" s="18" t="n">
        <v>8</v>
      </c>
    </row>
    <row r="17" customFormat="false" ht="15" hidden="false" customHeight="true" outlineLevel="0" collapsed="false">
      <c r="A17" s="10" t="s">
        <v>54</v>
      </c>
      <c r="B17" s="18" t="n">
        <v>4</v>
      </c>
    </row>
    <row r="18" customFormat="false" ht="15" hidden="false" customHeight="true" outlineLevel="0" collapsed="false">
      <c r="A18" s="10" t="s">
        <v>55</v>
      </c>
      <c r="B18" s="20" t="n">
        <v>0.05</v>
      </c>
    </row>
    <row r="19" customFormat="false" ht="15" hidden="false" customHeight="true" outlineLevel="0" collapsed="false">
      <c r="A19" s="10" t="s">
        <v>56</v>
      </c>
      <c r="B19" s="20" t="n">
        <v>0.005</v>
      </c>
    </row>
    <row r="20" customFormat="false" ht="15" hidden="false" customHeight="true" outlineLevel="0" collapsed="false">
      <c r="A20" s="10" t="s">
        <v>57</v>
      </c>
      <c r="B20" s="19" t="n">
        <v>45</v>
      </c>
    </row>
    <row r="21" customFormat="false" ht="15" hidden="false" customHeight="true" outlineLevel="0" collapsed="false">
      <c r="A21" s="10" t="s">
        <v>58</v>
      </c>
      <c r="B21" s="20" t="n">
        <v>0.05</v>
      </c>
    </row>
    <row r="22" customFormat="false" ht="15" hidden="false" customHeight="true" outlineLevel="0" collapsed="false">
      <c r="A22" s="10" t="s">
        <v>59</v>
      </c>
      <c r="B22" s="19" t="n">
        <v>52</v>
      </c>
    </row>
    <row r="23" customFormat="false" ht="15" hidden="false" customHeight="true" outlineLevel="0" collapsed="false">
      <c r="A23" s="10" t="s">
        <v>60</v>
      </c>
      <c r="B23" s="19" t="n">
        <v>165</v>
      </c>
    </row>
    <row r="24" customFormat="false" ht="15" hidden="false" customHeight="true" outlineLevel="0" collapsed="false">
      <c r="A24" s="10" t="s">
        <v>61</v>
      </c>
      <c r="B24" s="19" t="n">
        <v>74.5</v>
      </c>
    </row>
    <row r="25" customFormat="false" ht="15" hidden="false" customHeight="true" outlineLevel="0" collapsed="false">
      <c r="A25" s="10" t="s">
        <v>62</v>
      </c>
      <c r="B25" s="19" t="n">
        <v>110</v>
      </c>
    </row>
    <row r="26" customFormat="false" ht="15" hidden="false" customHeight="true" outlineLevel="0" collapsed="false">
      <c r="A26" s="10" t="s">
        <v>63</v>
      </c>
      <c r="B26" s="19" t="n">
        <v>40</v>
      </c>
    </row>
    <row r="27" customFormat="false" ht="15" hidden="false" customHeight="true" outlineLevel="0" collapsed="false">
      <c r="A27" s="10" t="s">
        <v>64</v>
      </c>
      <c r="B27" s="17" t="n">
        <f aca="false">B9-B6-MAX(-B24,0)-B26-B8</f>
        <v>223.7</v>
      </c>
    </row>
    <row r="28" customFormat="false" ht="15" hidden="false" customHeight="true" outlineLevel="0" collapsed="false">
      <c r="A28" s="21" t="s">
        <v>65</v>
      </c>
      <c r="B28" s="22" t="n">
        <v>0.405</v>
      </c>
      <c r="C28" s="21" t="s">
        <v>66</v>
      </c>
      <c r="D28" s="23" t="n">
        <f aca="false">Segments!C31</f>
        <v>0.0985149595981655</v>
      </c>
    </row>
    <row r="29" customFormat="false" ht="15" hidden="false" customHeight="true" outlineLevel="0" collapsed="false">
      <c r="A29" s="21" t="s">
        <v>67</v>
      </c>
      <c r="B29" s="24" t="n">
        <v>0.9</v>
      </c>
    </row>
    <row r="30" customFormat="false" ht="15" hidden="false" customHeight="true" outlineLevel="0" collapsed="false">
      <c r="A30" s="9" t="s">
        <v>68</v>
      </c>
    </row>
    <row r="31" customFormat="false" ht="15" hidden="false" customHeight="true" outlineLevel="0" collapsed="false">
      <c r="A31" s="10" t="s">
        <v>69</v>
      </c>
      <c r="B31" s="25" t="n">
        <f aca="false">Segments!B7</f>
        <v>8.8000016</v>
      </c>
    </row>
    <row r="32" customFormat="false" ht="15" hidden="false" customHeight="true" outlineLevel="0" collapsed="false">
      <c r="A32" s="10" t="s">
        <v>70</v>
      </c>
      <c r="B32" s="25" t="n">
        <f aca="false">Segments!B8</f>
        <v>6.5</v>
      </c>
    </row>
    <row r="33" customFormat="false" ht="15" hidden="false" customHeight="true" outlineLevel="0" collapsed="false">
      <c r="A33" s="10" t="s">
        <v>71</v>
      </c>
      <c r="B33" s="26" t="n">
        <f aca="false">Segments!B10</f>
        <v>0.85</v>
      </c>
    </row>
    <row r="34" customFormat="false" ht="15" hidden="false" customHeight="true" outlineLevel="0" collapsed="false">
      <c r="A34" s="10" t="s">
        <v>72</v>
      </c>
      <c r="B34" s="25" t="n">
        <f aca="false">Segments!C7</f>
        <v>4.9000032</v>
      </c>
    </row>
    <row r="35" customFormat="false" ht="15" hidden="false" customHeight="true" outlineLevel="0" collapsed="false">
      <c r="A35" s="10" t="s">
        <v>73</v>
      </c>
      <c r="B35" s="25" t="n">
        <f aca="false">Segments!C8</f>
        <v>7.5</v>
      </c>
    </row>
    <row r="36" customFormat="false" ht="15" hidden="false" customHeight="true" outlineLevel="0" collapsed="false">
      <c r="A36" s="10" t="s">
        <v>74</v>
      </c>
      <c r="B36" s="26" t="n">
        <f aca="false">Segments!C10</f>
        <v>0.85</v>
      </c>
    </row>
    <row r="37" customFormat="false" ht="15" hidden="false" customHeight="true" outlineLevel="0" collapsed="false">
      <c r="A37" s="10" t="s">
        <v>75</v>
      </c>
      <c r="B37" s="20" t="n">
        <v>0.6</v>
      </c>
    </row>
    <row r="38" customFormat="false" ht="15" hidden="false" customHeight="true" outlineLevel="0" collapsed="false">
      <c r="A38" s="9" t="s">
        <v>76</v>
      </c>
    </row>
    <row r="39" customFormat="false" ht="15" hidden="false" customHeight="true" outlineLevel="0" collapsed="false">
      <c r="A39" s="27" t="s">
        <v>77</v>
      </c>
      <c r="B39" s="27" t="s">
        <v>78</v>
      </c>
      <c r="C39" s="28" t="s">
        <v>79</v>
      </c>
      <c r="D39" s="28" t="s">
        <v>80</v>
      </c>
      <c r="E39" s="28" t="s">
        <v>81</v>
      </c>
      <c r="F39" s="28" t="s">
        <v>82</v>
      </c>
      <c r="G39" s="28" t="s">
        <v>83</v>
      </c>
      <c r="H39" s="28" t="s">
        <v>84</v>
      </c>
      <c r="I39" s="28" t="s">
        <v>85</v>
      </c>
      <c r="J39" s="28" t="s">
        <v>86</v>
      </c>
      <c r="K39" s="28" t="s">
        <v>87</v>
      </c>
      <c r="L39" s="28" t="s">
        <v>88</v>
      </c>
    </row>
    <row r="40" customFormat="false" ht="15" hidden="false" customHeight="true" outlineLevel="0" collapsed="false">
      <c r="A40" s="10" t="s">
        <v>89</v>
      </c>
      <c r="B40" s="10" t="s">
        <v>90</v>
      </c>
      <c r="C40" s="29" t="n">
        <v>33.6</v>
      </c>
      <c r="D40" s="30" t="n">
        <v>0.12</v>
      </c>
      <c r="E40" s="31" t="n">
        <v>6000</v>
      </c>
      <c r="F40" s="30" t="n">
        <v>0.05</v>
      </c>
      <c r="G40" s="32" t="n">
        <v>1</v>
      </c>
      <c r="H40" s="33" t="n">
        <v>2026</v>
      </c>
      <c r="I40" s="31" t="n">
        <v>11</v>
      </c>
      <c r="J40" s="31" t="n">
        <v>9</v>
      </c>
      <c r="K40" s="32" t="n">
        <v>0.93</v>
      </c>
      <c r="L40" s="32" t="n">
        <v>0.74</v>
      </c>
    </row>
    <row r="41" customFormat="false" ht="15" hidden="false" customHeight="true" outlineLevel="0" collapsed="false">
      <c r="A41" s="10" t="s">
        <v>91</v>
      </c>
      <c r="B41" s="10" t="s">
        <v>92</v>
      </c>
      <c r="C41" s="29" t="n">
        <v>6</v>
      </c>
      <c r="D41" s="30" t="n">
        <v>0.22</v>
      </c>
      <c r="E41" s="31" t="n">
        <v>12000</v>
      </c>
      <c r="F41" s="30" t="n">
        <v>0.05</v>
      </c>
      <c r="G41" s="32" t="n">
        <v>1</v>
      </c>
      <c r="H41" s="33" t="n">
        <v>2026</v>
      </c>
      <c r="I41" s="31" t="n">
        <v>9</v>
      </c>
      <c r="J41" s="31" t="n">
        <v>8</v>
      </c>
      <c r="K41" s="32" t="n">
        <v>0.6</v>
      </c>
      <c r="L41" s="32" t="n">
        <v>0.15</v>
      </c>
    </row>
    <row r="42" customFormat="false" ht="15" hidden="false" customHeight="true" outlineLevel="0" collapsed="false">
      <c r="A42" s="10" t="s">
        <v>93</v>
      </c>
      <c r="B42" s="10" t="s">
        <v>94</v>
      </c>
      <c r="C42" s="29" t="n">
        <v>1.159</v>
      </c>
      <c r="D42" s="30" t="n">
        <v>0.4</v>
      </c>
      <c r="E42" s="31" t="n">
        <v>9000</v>
      </c>
      <c r="F42" s="30" t="n">
        <v>0.06</v>
      </c>
      <c r="G42" s="32" t="n">
        <v>1</v>
      </c>
      <c r="H42" s="33" t="n">
        <v>2026</v>
      </c>
      <c r="I42" s="31" t="n">
        <v>5</v>
      </c>
      <c r="J42" s="31" t="n">
        <v>5</v>
      </c>
      <c r="K42" s="32" t="n">
        <v>0.88</v>
      </c>
      <c r="L42" s="32" t="n">
        <v>0.58</v>
      </c>
    </row>
    <row r="43" customFormat="false" ht="15" hidden="false" customHeight="true" outlineLevel="0" collapsed="false">
      <c r="A43" s="10" t="s">
        <v>95</v>
      </c>
      <c r="B43" s="10" t="s">
        <v>96</v>
      </c>
      <c r="C43" s="29" t="n">
        <v>23</v>
      </c>
      <c r="D43" s="30" t="n">
        <v>0.1</v>
      </c>
      <c r="E43" s="31" t="n">
        <v>5000</v>
      </c>
      <c r="F43" s="30" t="n">
        <v>0.07</v>
      </c>
      <c r="G43" s="32" t="n">
        <v>1</v>
      </c>
      <c r="H43" s="33" t="n">
        <v>2026</v>
      </c>
      <c r="I43" s="31" t="n">
        <v>11</v>
      </c>
      <c r="J43" s="31" t="n">
        <v>9</v>
      </c>
      <c r="K43" s="32" t="n">
        <v>0.74</v>
      </c>
      <c r="L43" s="32" t="n">
        <v>0.5</v>
      </c>
    </row>
    <row r="44" customFormat="false" ht="15" hidden="false" customHeight="true" outlineLevel="0" collapsed="false">
      <c r="A44" s="10" t="s">
        <v>97</v>
      </c>
      <c r="B44" s="10" t="s">
        <v>98</v>
      </c>
      <c r="C44" s="29" t="n">
        <v>21</v>
      </c>
      <c r="D44" s="30" t="n">
        <v>0.1</v>
      </c>
      <c r="E44" s="31" t="n">
        <v>4500</v>
      </c>
      <c r="F44" s="30" t="n">
        <v>0.06</v>
      </c>
      <c r="G44" s="32" t="n">
        <v>1</v>
      </c>
      <c r="H44" s="33" t="n">
        <v>2026</v>
      </c>
      <c r="I44" s="31" t="n">
        <v>10</v>
      </c>
      <c r="J44" s="31" t="n">
        <v>9</v>
      </c>
      <c r="K44" s="32" t="n">
        <v>0.76</v>
      </c>
      <c r="L44" s="32" t="n">
        <v>0.35</v>
      </c>
    </row>
    <row r="45" customFormat="false" ht="15" hidden="false" customHeight="true" outlineLevel="0" collapsed="false">
      <c r="A45" s="10" t="s">
        <v>99</v>
      </c>
      <c r="B45" s="10" t="s">
        <v>100</v>
      </c>
      <c r="C45" s="29" t="n">
        <v>2.1</v>
      </c>
      <c r="D45" s="30" t="n">
        <v>0.4</v>
      </c>
      <c r="E45" s="31" t="n">
        <v>7000</v>
      </c>
      <c r="F45" s="30" t="n">
        <v>0.07</v>
      </c>
      <c r="G45" s="32" t="n">
        <v>1</v>
      </c>
      <c r="H45" s="33" t="n">
        <v>2026</v>
      </c>
      <c r="I45" s="31" t="n">
        <v>6</v>
      </c>
      <c r="J45" s="31" t="n">
        <v>6</v>
      </c>
      <c r="K45" s="32" t="n">
        <v>0.86</v>
      </c>
      <c r="L45" s="32" t="n">
        <v>0.5</v>
      </c>
    </row>
    <row r="46" customFormat="false" ht="15" hidden="false" customHeight="true" outlineLevel="0" collapsed="false">
      <c r="A46" s="10" t="s">
        <v>101</v>
      </c>
      <c r="B46" s="10" t="s">
        <v>90</v>
      </c>
      <c r="C46" s="29" t="n">
        <v>10</v>
      </c>
      <c r="D46" s="30" t="n">
        <v>0.15</v>
      </c>
      <c r="E46" s="31" t="n">
        <v>4000</v>
      </c>
      <c r="F46" s="30" t="n">
        <v>0.05</v>
      </c>
      <c r="G46" s="32" t="n">
        <v>1</v>
      </c>
      <c r="H46" s="33" t="n">
        <v>2026</v>
      </c>
      <c r="I46" s="31" t="n">
        <v>5</v>
      </c>
      <c r="J46" s="31" t="n">
        <v>4</v>
      </c>
      <c r="K46" s="32" t="n">
        <v>0.93</v>
      </c>
      <c r="L46" s="32" t="n">
        <v>0.9</v>
      </c>
    </row>
    <row r="47" customFormat="false" ht="15" hidden="false" customHeight="true" outlineLevel="0" collapsed="false">
      <c r="A47" s="10" t="s">
        <v>102</v>
      </c>
      <c r="B47" s="10" t="s">
        <v>103</v>
      </c>
      <c r="C47" s="29" t="n">
        <v>4</v>
      </c>
      <c r="D47" s="30" t="n">
        <v>0.22</v>
      </c>
      <c r="E47" s="31" t="n">
        <v>5000</v>
      </c>
      <c r="F47" s="30" t="n">
        <v>0.08</v>
      </c>
      <c r="G47" s="32" t="n">
        <v>1</v>
      </c>
      <c r="H47" s="33" t="n">
        <v>2026</v>
      </c>
      <c r="I47" s="31" t="n">
        <v>7</v>
      </c>
      <c r="J47" s="31" t="n">
        <v>6</v>
      </c>
      <c r="K47" s="32" t="n">
        <v>0.78</v>
      </c>
      <c r="L47" s="32" t="n">
        <v>0.25</v>
      </c>
    </row>
    <row r="48" customFormat="false" ht="15" hidden="false" customHeight="true" outlineLevel="0" collapsed="false">
      <c r="A48" s="10" t="s">
        <v>104</v>
      </c>
      <c r="B48" s="10" t="s">
        <v>105</v>
      </c>
      <c r="C48" s="29" t="n">
        <v>10</v>
      </c>
      <c r="D48" s="30" t="n">
        <v>0.17</v>
      </c>
      <c r="E48" s="31" t="n">
        <v>14000</v>
      </c>
      <c r="F48" s="30" t="n">
        <v>0.06</v>
      </c>
      <c r="G48" s="32" t="n">
        <v>0.51</v>
      </c>
      <c r="H48" s="33" t="n">
        <v>2026</v>
      </c>
      <c r="I48" s="31" t="n">
        <v>9</v>
      </c>
      <c r="J48" s="31" t="n">
        <v>8</v>
      </c>
      <c r="K48" s="32" t="n">
        <v>0.54</v>
      </c>
      <c r="L48" s="32" t="n">
        <v>0.22</v>
      </c>
    </row>
    <row r="49" customFormat="false" ht="15" hidden="false" customHeight="true" outlineLevel="0" collapsed="false">
      <c r="A49" s="10" t="s">
        <v>106</v>
      </c>
      <c r="B49" s="10" t="s">
        <v>107</v>
      </c>
      <c r="C49" s="29" t="n">
        <v>5</v>
      </c>
      <c r="D49" s="30" t="n">
        <v>0.18</v>
      </c>
      <c r="E49" s="31" t="n">
        <v>10000</v>
      </c>
      <c r="F49" s="30" t="n">
        <v>0.07</v>
      </c>
      <c r="G49" s="32" t="n">
        <v>0.6</v>
      </c>
      <c r="H49" s="33" t="n">
        <v>2026</v>
      </c>
      <c r="I49" s="31" t="n">
        <v>8</v>
      </c>
      <c r="J49" s="31" t="n">
        <v>7</v>
      </c>
      <c r="K49" s="32" t="n">
        <v>0.52</v>
      </c>
      <c r="L49" s="32" t="n">
        <v>0.12</v>
      </c>
    </row>
    <row r="50" customFormat="false" ht="15" hidden="false" customHeight="true" outlineLevel="0" collapsed="false">
      <c r="A50" s="10" t="s">
        <v>108</v>
      </c>
      <c r="B50" s="10" t="s">
        <v>109</v>
      </c>
      <c r="C50" s="29" t="n">
        <v>22</v>
      </c>
      <c r="D50" s="30" t="n">
        <v>0.14</v>
      </c>
      <c r="E50" s="31" t="n">
        <v>8000</v>
      </c>
      <c r="F50" s="30" t="n">
        <v>0.07</v>
      </c>
      <c r="G50" s="32" t="n">
        <v>0.5</v>
      </c>
      <c r="H50" s="33" t="n">
        <v>2028</v>
      </c>
      <c r="I50" s="31" t="n">
        <v>10</v>
      </c>
      <c r="J50" s="31" t="n">
        <v>10</v>
      </c>
      <c r="K50" s="32" t="n">
        <v>0.16</v>
      </c>
      <c r="L50" s="32" t="n">
        <v>0</v>
      </c>
    </row>
    <row r="51" customFormat="false" ht="15" hidden="false" customHeight="true" outlineLevel="0" collapsed="false">
      <c r="A51" s="10" t="s">
        <v>110</v>
      </c>
      <c r="B51" s="10" t="s">
        <v>111</v>
      </c>
      <c r="C51" s="29" t="n">
        <v>12</v>
      </c>
      <c r="D51" s="30" t="n">
        <v>0.12</v>
      </c>
      <c r="E51" s="31" t="n">
        <v>5000</v>
      </c>
      <c r="F51" s="30" t="n">
        <v>0.07</v>
      </c>
      <c r="G51" s="32" t="n">
        <v>1</v>
      </c>
      <c r="H51" s="33" t="n">
        <v>2030</v>
      </c>
      <c r="I51" s="31" t="n">
        <v>8</v>
      </c>
      <c r="J51" s="31" t="n">
        <v>7</v>
      </c>
      <c r="K51" s="32" t="n">
        <v>0.32</v>
      </c>
      <c r="L51" s="32" t="n">
        <v>0</v>
      </c>
    </row>
    <row r="53" customFormat="false" ht="15" hidden="false" customHeight="true" outlineLevel="0" collapsed="false">
      <c r="A53" s="9" t="s">
        <v>112</v>
      </c>
    </row>
    <row r="54" customFormat="false" ht="15" hidden="false" customHeight="true" outlineLevel="0" collapsed="false">
      <c r="A54" s="10" t="s">
        <v>113</v>
      </c>
      <c r="B54" s="19" t="n">
        <v>457.9</v>
      </c>
    </row>
    <row r="55" customFormat="false" ht="15" hidden="false" customHeight="true" outlineLevel="0" collapsed="false">
      <c r="A55" s="10" t="s">
        <v>114</v>
      </c>
      <c r="B55" s="20" t="n">
        <v>0.4</v>
      </c>
    </row>
    <row r="56" customFormat="false" ht="15" hidden="false" customHeight="true" outlineLevel="0" collapsed="false">
      <c r="A56" s="10" t="s">
        <v>115</v>
      </c>
      <c r="B56" s="20" t="n">
        <v>0.7</v>
      </c>
    </row>
    <row r="57" customFormat="false" ht="15" hidden="false" customHeight="true" outlineLevel="0" collapsed="false">
      <c r="A57" s="10" t="s">
        <v>116</v>
      </c>
      <c r="B57" s="18" t="n">
        <v>7</v>
      </c>
    </row>
    <row r="58" customFormat="false" ht="15" hidden="false" customHeight="true" outlineLevel="0" collapsed="false">
      <c r="A58" s="10" t="s">
        <v>117</v>
      </c>
      <c r="B58" s="18" t="n">
        <v>7</v>
      </c>
    </row>
    <row r="59" customFormat="false" ht="15" hidden="false" customHeight="true" outlineLevel="0" collapsed="false">
      <c r="A59" s="10" t="s">
        <v>118</v>
      </c>
      <c r="B59" s="20" t="n">
        <v>0.42</v>
      </c>
    </row>
    <row r="60" customFormat="false" ht="15" hidden="false" customHeight="true" outlineLevel="0" collapsed="false">
      <c r="A60" s="10" t="s">
        <v>119</v>
      </c>
      <c r="B60" s="20" t="n">
        <v>0.97</v>
      </c>
    </row>
    <row r="61" customFormat="false" ht="15" hidden="false" customHeight="true" outlineLevel="0" collapsed="false">
      <c r="A61" s="9" t="s">
        <v>120</v>
      </c>
    </row>
    <row r="62" customFormat="false" ht="15" hidden="false" customHeight="true" outlineLevel="0" collapsed="false">
      <c r="A62" s="27" t="s">
        <v>77</v>
      </c>
      <c r="B62" s="27" t="s">
        <v>121</v>
      </c>
      <c r="C62" s="28" t="s">
        <v>122</v>
      </c>
      <c r="D62" s="28" t="s">
        <v>123</v>
      </c>
      <c r="E62" s="28" t="s">
        <v>124</v>
      </c>
      <c r="F62" s="28" t="s">
        <v>125</v>
      </c>
    </row>
    <row r="63" customFormat="false" ht="15" hidden="false" customHeight="true" outlineLevel="0" collapsed="false">
      <c r="A63" s="10" t="s">
        <v>89</v>
      </c>
      <c r="B63" s="10" t="s">
        <v>126</v>
      </c>
      <c r="C63" s="20" t="n">
        <v>0.5</v>
      </c>
      <c r="D63" s="18" t="n">
        <v>145</v>
      </c>
      <c r="E63" s="18" t="n">
        <v>70000</v>
      </c>
      <c r="F63" s="18" t="n">
        <v>24000</v>
      </c>
    </row>
    <row r="64" customFormat="false" ht="15" hidden="false" customHeight="true" outlineLevel="0" collapsed="false">
      <c r="B64" s="10" t="s">
        <v>127</v>
      </c>
      <c r="C64" s="20" t="n">
        <v>0.3</v>
      </c>
      <c r="D64" s="18" t="n">
        <v>230</v>
      </c>
      <c r="E64" s="18" t="n">
        <v>95000</v>
      </c>
      <c r="F64" s="18" t="n">
        <v>28000</v>
      </c>
    </row>
    <row r="65" customFormat="false" ht="15" hidden="false" customHeight="true" outlineLevel="0" collapsed="false">
      <c r="B65" s="10" t="s">
        <v>128</v>
      </c>
      <c r="C65" s="20" t="n">
        <v>0.2</v>
      </c>
      <c r="D65" s="18" t="n">
        <v>350</v>
      </c>
      <c r="E65" s="18" t="n">
        <v>130000</v>
      </c>
      <c r="F65" s="18" t="n">
        <v>36000</v>
      </c>
    </row>
    <row r="66" customFormat="false" ht="15" hidden="false" customHeight="true" outlineLevel="0" collapsed="false">
      <c r="A66" s="10" t="s">
        <v>91</v>
      </c>
      <c r="B66" s="10" t="s">
        <v>129</v>
      </c>
      <c r="C66" s="20" t="n">
        <v>0.4</v>
      </c>
      <c r="D66" s="18" t="n">
        <v>120</v>
      </c>
      <c r="E66" s="18" t="n">
        <v>120000</v>
      </c>
      <c r="F66" s="18" t="n">
        <v>42000</v>
      </c>
    </row>
    <row r="67" customFormat="false" ht="15" hidden="false" customHeight="true" outlineLevel="0" collapsed="false">
      <c r="B67" s="10" t="s">
        <v>130</v>
      </c>
      <c r="C67" s="20" t="n">
        <v>0.35</v>
      </c>
      <c r="D67" s="18" t="n">
        <v>180</v>
      </c>
      <c r="E67" s="18" t="n">
        <v>110000</v>
      </c>
      <c r="F67" s="18" t="n">
        <v>40000</v>
      </c>
    </row>
    <row r="68" customFormat="false" ht="15" hidden="false" customHeight="true" outlineLevel="0" collapsed="false">
      <c r="B68" s="10" t="s">
        <v>131</v>
      </c>
      <c r="C68" s="20" t="n">
        <v>0.25</v>
      </c>
      <c r="D68" s="18" t="n">
        <v>150</v>
      </c>
      <c r="E68" s="18" t="n">
        <v>165000</v>
      </c>
      <c r="F68" s="18" t="n">
        <v>55000</v>
      </c>
    </row>
    <row r="69" customFormat="false" ht="15" hidden="false" customHeight="true" outlineLevel="0" collapsed="false">
      <c r="A69" s="10" t="s">
        <v>93</v>
      </c>
      <c r="B69" s="10" t="s">
        <v>126</v>
      </c>
      <c r="C69" s="20" t="n">
        <v>0.3</v>
      </c>
      <c r="D69" s="18" t="n">
        <v>150</v>
      </c>
      <c r="E69" s="18" t="n">
        <v>110000</v>
      </c>
      <c r="F69" s="18" t="n">
        <v>36000</v>
      </c>
    </row>
    <row r="70" customFormat="false" ht="15" hidden="false" customHeight="true" outlineLevel="0" collapsed="false">
      <c r="B70" s="10" t="s">
        <v>127</v>
      </c>
      <c r="C70" s="20" t="n">
        <v>0.3</v>
      </c>
      <c r="D70" s="18" t="n">
        <v>240</v>
      </c>
      <c r="E70" s="18" t="n">
        <v>135000</v>
      </c>
      <c r="F70" s="18" t="n">
        <v>40000</v>
      </c>
    </row>
    <row r="71" customFormat="false" ht="15" hidden="false" customHeight="true" outlineLevel="0" collapsed="false">
      <c r="B71" s="10" t="s">
        <v>128</v>
      </c>
      <c r="C71" s="20" t="n">
        <v>0.4</v>
      </c>
      <c r="D71" s="18" t="n">
        <v>360</v>
      </c>
      <c r="E71" s="18" t="n">
        <v>175000</v>
      </c>
      <c r="F71" s="18" t="n">
        <v>48000</v>
      </c>
    </row>
    <row r="72" customFormat="false" ht="15" hidden="false" customHeight="true" outlineLevel="0" collapsed="false">
      <c r="A72" s="10" t="s">
        <v>95</v>
      </c>
      <c r="B72" s="10" t="s">
        <v>132</v>
      </c>
      <c r="C72" s="20" t="n">
        <v>0.55</v>
      </c>
      <c r="D72" s="18" t="n">
        <v>125</v>
      </c>
      <c r="E72" s="18" t="n">
        <v>95000</v>
      </c>
      <c r="F72" s="18" t="n">
        <v>30000</v>
      </c>
    </row>
    <row r="73" customFormat="false" ht="15" hidden="false" customHeight="true" outlineLevel="0" collapsed="false">
      <c r="B73" s="10" t="s">
        <v>133</v>
      </c>
      <c r="C73" s="20" t="n">
        <v>0.25</v>
      </c>
      <c r="D73" s="18" t="n">
        <v>195</v>
      </c>
      <c r="E73" s="18" t="n">
        <v>115000</v>
      </c>
      <c r="F73" s="18" t="n">
        <v>35000</v>
      </c>
    </row>
    <row r="74" customFormat="false" ht="15" hidden="false" customHeight="true" outlineLevel="0" collapsed="false">
      <c r="B74" s="10" t="s">
        <v>128</v>
      </c>
      <c r="C74" s="20" t="n">
        <v>0.2</v>
      </c>
      <c r="D74" s="18" t="n">
        <v>330</v>
      </c>
      <c r="E74" s="18" t="n">
        <v>150000</v>
      </c>
      <c r="F74" s="18" t="n">
        <v>45000</v>
      </c>
    </row>
    <row r="75" customFormat="false" ht="15" hidden="false" customHeight="true" outlineLevel="0" collapsed="false">
      <c r="A75" s="10" t="s">
        <v>97</v>
      </c>
      <c r="B75" s="10" t="s">
        <v>126</v>
      </c>
      <c r="C75" s="20" t="n">
        <v>0.5</v>
      </c>
      <c r="D75" s="18" t="n">
        <v>145</v>
      </c>
      <c r="E75" s="18" t="n">
        <v>60000</v>
      </c>
      <c r="F75" s="18" t="n">
        <v>22000</v>
      </c>
    </row>
    <row r="76" customFormat="false" ht="15" hidden="false" customHeight="true" outlineLevel="0" collapsed="false">
      <c r="B76" s="10" t="s">
        <v>127</v>
      </c>
      <c r="C76" s="20" t="n">
        <v>0.3</v>
      </c>
      <c r="D76" s="18" t="n">
        <v>225</v>
      </c>
      <c r="E76" s="18" t="n">
        <v>78000</v>
      </c>
      <c r="F76" s="18" t="n">
        <v>26000</v>
      </c>
    </row>
    <row r="77" customFormat="false" ht="15" hidden="false" customHeight="true" outlineLevel="0" collapsed="false">
      <c r="B77" s="10" t="s">
        <v>128</v>
      </c>
      <c r="C77" s="20" t="n">
        <v>0.2</v>
      </c>
      <c r="D77" s="18" t="n">
        <v>345</v>
      </c>
      <c r="E77" s="18" t="n">
        <v>100000</v>
      </c>
      <c r="F77" s="18" t="n">
        <v>34000</v>
      </c>
    </row>
    <row r="78" customFormat="false" ht="15" hidden="false" customHeight="true" outlineLevel="0" collapsed="false">
      <c r="A78" s="10" t="s">
        <v>99</v>
      </c>
      <c r="B78" s="10" t="s">
        <v>126</v>
      </c>
      <c r="C78" s="20" t="n">
        <v>0.45</v>
      </c>
      <c r="D78" s="18" t="n">
        <v>150</v>
      </c>
      <c r="E78" s="18" t="n">
        <v>66000</v>
      </c>
      <c r="F78" s="18" t="n">
        <v>24000</v>
      </c>
    </row>
    <row r="79" customFormat="false" ht="15" hidden="false" customHeight="true" outlineLevel="0" collapsed="false">
      <c r="B79" s="10" t="s">
        <v>127</v>
      </c>
      <c r="C79" s="20" t="n">
        <v>0.3</v>
      </c>
      <c r="D79" s="18" t="n">
        <v>225</v>
      </c>
      <c r="E79" s="18" t="n">
        <v>84000</v>
      </c>
      <c r="F79" s="18" t="n">
        <v>28000</v>
      </c>
    </row>
    <row r="80" customFormat="false" ht="15" hidden="false" customHeight="true" outlineLevel="0" collapsed="false">
      <c r="B80" s="10" t="s">
        <v>128</v>
      </c>
      <c r="C80" s="20" t="n">
        <v>0.25</v>
      </c>
      <c r="D80" s="18" t="n">
        <v>350</v>
      </c>
      <c r="E80" s="18" t="n">
        <v>112000</v>
      </c>
      <c r="F80" s="18" t="n">
        <v>36000</v>
      </c>
    </row>
    <row r="81" customFormat="false" ht="15" hidden="false" customHeight="true" outlineLevel="0" collapsed="false">
      <c r="A81" s="10" t="s">
        <v>101</v>
      </c>
      <c r="B81" s="10" t="s">
        <v>126</v>
      </c>
      <c r="C81" s="20" t="n">
        <v>0.55</v>
      </c>
      <c r="D81" s="18" t="n">
        <v>140</v>
      </c>
      <c r="E81" s="18" t="n">
        <v>55000</v>
      </c>
      <c r="F81" s="18" t="n">
        <v>21000</v>
      </c>
    </row>
    <row r="82" customFormat="false" ht="15" hidden="false" customHeight="true" outlineLevel="0" collapsed="false">
      <c r="B82" s="10" t="s">
        <v>127</v>
      </c>
      <c r="C82" s="20" t="n">
        <v>0.3</v>
      </c>
      <c r="D82" s="18" t="n">
        <v>210</v>
      </c>
      <c r="E82" s="18" t="n">
        <v>68000</v>
      </c>
      <c r="F82" s="18" t="n">
        <v>25000</v>
      </c>
    </row>
    <row r="83" customFormat="false" ht="15" hidden="false" customHeight="true" outlineLevel="0" collapsed="false">
      <c r="B83" s="10" t="s">
        <v>128</v>
      </c>
      <c r="C83" s="20" t="n">
        <v>0.15</v>
      </c>
      <c r="D83" s="18" t="n">
        <v>330</v>
      </c>
      <c r="E83" s="18" t="n">
        <v>90000</v>
      </c>
      <c r="F83" s="18" t="n">
        <v>31000</v>
      </c>
    </row>
    <row r="84" customFormat="false" ht="15" hidden="false" customHeight="true" outlineLevel="0" collapsed="false">
      <c r="A84" s="10" t="s">
        <v>102</v>
      </c>
      <c r="B84" s="10" t="s">
        <v>132</v>
      </c>
      <c r="C84" s="20" t="n">
        <v>0.55</v>
      </c>
      <c r="D84" s="18" t="n">
        <v>115</v>
      </c>
      <c r="E84" s="18" t="n">
        <v>82000</v>
      </c>
      <c r="F84" s="18" t="n">
        <v>28000</v>
      </c>
    </row>
    <row r="85" customFormat="false" ht="15" hidden="false" customHeight="true" outlineLevel="0" collapsed="false">
      <c r="B85" s="10" t="s">
        <v>133</v>
      </c>
      <c r="C85" s="20" t="n">
        <v>0.25</v>
      </c>
      <c r="D85" s="18" t="n">
        <v>185</v>
      </c>
      <c r="E85" s="18" t="n">
        <v>98000</v>
      </c>
      <c r="F85" s="18" t="n">
        <v>33000</v>
      </c>
    </row>
    <row r="86" customFormat="false" ht="15" hidden="false" customHeight="true" outlineLevel="0" collapsed="false">
      <c r="B86" s="10" t="s">
        <v>128</v>
      </c>
      <c r="C86" s="20" t="n">
        <v>0.2</v>
      </c>
      <c r="D86" s="18" t="n">
        <v>320</v>
      </c>
      <c r="E86" s="18" t="n">
        <v>132000</v>
      </c>
      <c r="F86" s="18" t="n">
        <v>42000</v>
      </c>
    </row>
    <row r="87" customFormat="false" ht="15" hidden="false" customHeight="true" outlineLevel="0" collapsed="false">
      <c r="A87" s="10" t="s">
        <v>104</v>
      </c>
      <c r="B87" s="10" t="s">
        <v>126</v>
      </c>
      <c r="C87" s="20" t="n">
        <v>0.5</v>
      </c>
      <c r="D87" s="18" t="n">
        <v>135</v>
      </c>
      <c r="E87" s="18" t="n">
        <v>130000</v>
      </c>
      <c r="F87" s="18" t="n">
        <v>40000</v>
      </c>
    </row>
    <row r="88" customFormat="false" ht="15" hidden="false" customHeight="true" outlineLevel="0" collapsed="false">
      <c r="B88" s="10" t="s">
        <v>127</v>
      </c>
      <c r="C88" s="20" t="n">
        <v>0.3</v>
      </c>
      <c r="D88" s="18" t="n">
        <v>215</v>
      </c>
      <c r="E88" s="18" t="n">
        <v>160000</v>
      </c>
      <c r="F88" s="18" t="n">
        <v>48000</v>
      </c>
    </row>
    <row r="89" customFormat="false" ht="15" hidden="false" customHeight="true" outlineLevel="0" collapsed="false">
      <c r="B89" s="10" t="s">
        <v>128</v>
      </c>
      <c r="C89" s="20" t="n">
        <v>0.2</v>
      </c>
      <c r="D89" s="18" t="n">
        <v>335</v>
      </c>
      <c r="E89" s="18" t="n">
        <v>210000</v>
      </c>
      <c r="F89" s="18" t="n">
        <v>62000</v>
      </c>
    </row>
    <row r="90" customFormat="false" ht="15" hidden="false" customHeight="true" outlineLevel="0" collapsed="false">
      <c r="A90" s="10" t="s">
        <v>106</v>
      </c>
      <c r="B90" s="10" t="s">
        <v>126</v>
      </c>
      <c r="C90" s="20" t="n">
        <v>0.5</v>
      </c>
      <c r="D90" s="18" t="n">
        <v>130</v>
      </c>
      <c r="E90" s="18" t="n">
        <v>90000</v>
      </c>
      <c r="F90" s="18" t="n">
        <v>32000</v>
      </c>
    </row>
    <row r="91" customFormat="false" ht="15" hidden="false" customHeight="true" outlineLevel="0" collapsed="false">
      <c r="B91" s="10" t="s">
        <v>127</v>
      </c>
      <c r="C91" s="20" t="n">
        <v>0.3</v>
      </c>
      <c r="D91" s="18" t="n">
        <v>210</v>
      </c>
      <c r="E91" s="18" t="n">
        <v>112000</v>
      </c>
      <c r="F91" s="18" t="n">
        <v>38000</v>
      </c>
    </row>
    <row r="92" customFormat="false" ht="15" hidden="false" customHeight="true" outlineLevel="0" collapsed="false">
      <c r="B92" s="10" t="s">
        <v>128</v>
      </c>
      <c r="C92" s="20" t="n">
        <v>0.2</v>
      </c>
      <c r="D92" s="18" t="n">
        <v>330</v>
      </c>
      <c r="E92" s="18" t="n">
        <v>148000</v>
      </c>
      <c r="F92" s="18" t="n">
        <v>48000</v>
      </c>
    </row>
    <row r="93" customFormat="false" ht="15" hidden="false" customHeight="true" outlineLevel="0" collapsed="false">
      <c r="A93" s="10" t="s">
        <v>108</v>
      </c>
      <c r="B93" s="10" t="s">
        <v>126</v>
      </c>
      <c r="C93" s="20" t="n">
        <v>0.55</v>
      </c>
      <c r="D93" s="18" t="n">
        <v>130</v>
      </c>
      <c r="E93" s="18" t="n">
        <v>70000</v>
      </c>
      <c r="F93" s="18" t="n">
        <v>26000</v>
      </c>
    </row>
    <row r="94" customFormat="false" ht="15" hidden="false" customHeight="true" outlineLevel="0" collapsed="false">
      <c r="B94" s="10" t="s">
        <v>127</v>
      </c>
      <c r="C94" s="20" t="n">
        <v>0.3</v>
      </c>
      <c r="D94" s="18" t="n">
        <v>205</v>
      </c>
      <c r="E94" s="18" t="n">
        <v>90000</v>
      </c>
      <c r="F94" s="18" t="n">
        <v>32000</v>
      </c>
    </row>
    <row r="95" customFormat="false" ht="15" hidden="false" customHeight="true" outlineLevel="0" collapsed="false">
      <c r="B95" s="10" t="s">
        <v>128</v>
      </c>
      <c r="C95" s="20" t="n">
        <v>0.15</v>
      </c>
      <c r="D95" s="18" t="n">
        <v>320</v>
      </c>
      <c r="E95" s="18" t="n">
        <v>120000</v>
      </c>
      <c r="F95" s="18" t="n">
        <v>42000</v>
      </c>
    </row>
    <row r="96" customFormat="false" ht="15" hidden="false" customHeight="true" outlineLevel="0" collapsed="false">
      <c r="A96" s="10" t="s">
        <v>110</v>
      </c>
      <c r="B96" s="10" t="s">
        <v>126</v>
      </c>
      <c r="C96" s="20" t="n">
        <v>0.55</v>
      </c>
      <c r="D96" s="18" t="n">
        <v>135</v>
      </c>
      <c r="E96" s="18" t="n">
        <v>58000</v>
      </c>
      <c r="F96" s="18" t="n">
        <v>21000</v>
      </c>
    </row>
    <row r="97" customFormat="false" ht="15" hidden="false" customHeight="true" outlineLevel="0" collapsed="false">
      <c r="B97" s="10" t="s">
        <v>127</v>
      </c>
      <c r="C97" s="20" t="n">
        <v>0.3</v>
      </c>
      <c r="D97" s="18" t="n">
        <v>210</v>
      </c>
      <c r="E97" s="18" t="n">
        <v>68000</v>
      </c>
      <c r="F97" s="18" t="n">
        <v>25000</v>
      </c>
    </row>
    <row r="98" customFormat="false" ht="15" hidden="false" customHeight="true" outlineLevel="0" collapsed="false">
      <c r="B98" s="10" t="s">
        <v>128</v>
      </c>
      <c r="C98" s="20" t="n">
        <v>0.15</v>
      </c>
      <c r="D98" s="18" t="n">
        <v>330</v>
      </c>
      <c r="E98" s="18" t="n">
        <v>86000</v>
      </c>
      <c r="F98" s="18" t="n">
        <v>32000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4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6"/>
    <col collapsed="false" customWidth="true" hidden="false" outlineLevel="0" max="8" min="2" style="1" width="14"/>
  </cols>
  <sheetData>
    <row r="1" customFormat="false" ht="15.75" hidden="false" customHeight="true" outlineLevel="0" collapsed="false">
      <c r="A1" s="6" t="s">
        <v>134</v>
      </c>
      <c r="B1" s="7"/>
      <c r="C1" s="7"/>
      <c r="D1" s="7"/>
      <c r="E1" s="7"/>
      <c r="F1" s="7"/>
      <c r="G1" s="7"/>
      <c r="H1" s="7"/>
    </row>
    <row r="2" customFormat="false" ht="15" hidden="false" customHeight="true" outlineLevel="0" collapsed="false">
      <c r="A2" s="8" t="s">
        <v>135</v>
      </c>
      <c r="B2" s="7"/>
      <c r="C2" s="7"/>
      <c r="D2" s="7"/>
      <c r="E2" s="7"/>
      <c r="F2" s="7"/>
      <c r="G2" s="7"/>
      <c r="H2" s="7"/>
    </row>
    <row r="3" customFormat="false" ht="15" hidden="false" customHeight="true" outlineLevel="0" collapsed="false">
      <c r="A3" s="34" t="s">
        <v>136</v>
      </c>
    </row>
    <row r="4" customFormat="false" ht="15" hidden="false" customHeight="true" outlineLevel="0" collapsed="false">
      <c r="A4" s="27" t="s">
        <v>121</v>
      </c>
      <c r="B4" s="28" t="s">
        <v>137</v>
      </c>
      <c r="C4" s="28" t="s">
        <v>138</v>
      </c>
      <c r="D4" s="28" t="s">
        <v>139</v>
      </c>
      <c r="E4" s="28" t="s">
        <v>124</v>
      </c>
      <c r="F4" s="28" t="s">
        <v>140</v>
      </c>
      <c r="G4" s="28" t="s">
        <v>141</v>
      </c>
      <c r="H4" s="28" t="s">
        <v>142</v>
      </c>
    </row>
    <row r="5" customFormat="false" ht="15" hidden="false" customHeight="true" outlineLevel="0" collapsed="false">
      <c r="A5" s="35" t="str">
        <f aca="false">Assumptions!$B$63</f>
        <v>Apartment</v>
      </c>
      <c r="B5" s="36" t="n">
        <f aca="false">D5/Assumptions!$D$63</f>
        <v>3614.89655172414</v>
      </c>
      <c r="C5" s="37" t="n">
        <f aca="false">Assumptions!$D$63</f>
        <v>145</v>
      </c>
      <c r="D5" s="36" t="n">
        <f aca="false">Assumptions!$C$40*1000000*Assumptions!$D$40*(1-Assumptions!$L$40)*Assumptions!$C$63</f>
        <v>524160</v>
      </c>
      <c r="E5" s="37" t="n">
        <f aca="false">Assumptions!$E$63</f>
        <v>70000</v>
      </c>
      <c r="F5" s="17" t="n">
        <f aca="false">D5*E5/1000000000</f>
        <v>36.6912</v>
      </c>
      <c r="G5" s="37" t="n">
        <f aca="false">Assumptions!$F$63</f>
        <v>24000</v>
      </c>
      <c r="H5" s="17" t="n">
        <f aca="false">D5*G5/1000000000</f>
        <v>12.57984</v>
      </c>
    </row>
    <row r="6" customFormat="false" ht="15" hidden="false" customHeight="true" outlineLevel="0" collapsed="false">
      <c r="A6" s="35" t="str">
        <f aca="false">Assumptions!$B$64</f>
        <v>Townhouse/Twin</v>
      </c>
      <c r="B6" s="36" t="n">
        <f aca="false">D6/Assumptions!$D$64</f>
        <v>1367.37391304348</v>
      </c>
      <c r="C6" s="37" t="n">
        <f aca="false">Assumptions!$D$64</f>
        <v>230</v>
      </c>
      <c r="D6" s="36" t="n">
        <f aca="false">Assumptions!$C$40*1000000*Assumptions!$D$40*(1-Assumptions!$L$40)*Assumptions!$C$64</f>
        <v>314496</v>
      </c>
      <c r="E6" s="37" t="n">
        <f aca="false">Assumptions!$E$64</f>
        <v>95000</v>
      </c>
      <c r="F6" s="17" t="n">
        <f aca="false">D6*E6/1000000000</f>
        <v>29.87712</v>
      </c>
      <c r="G6" s="37" t="n">
        <f aca="false">Assumptions!$F$64</f>
        <v>28000</v>
      </c>
      <c r="H6" s="17" t="n">
        <f aca="false">D6*G6/1000000000</f>
        <v>8.805888</v>
      </c>
    </row>
    <row r="7" customFormat="false" ht="15" hidden="false" customHeight="true" outlineLevel="0" collapsed="false">
      <c r="A7" s="35" t="str">
        <f aca="false">Assumptions!$B$65</f>
        <v>Villa</v>
      </c>
      <c r="B7" s="36" t="n">
        <f aca="false">D7/Assumptions!$D$65</f>
        <v>599.04</v>
      </c>
      <c r="C7" s="37" t="n">
        <f aca="false">Assumptions!$D$65</f>
        <v>350</v>
      </c>
      <c r="D7" s="36" t="n">
        <f aca="false">Assumptions!$C$40*1000000*Assumptions!$D$40*(1-Assumptions!$L$40)*Assumptions!$C$65</f>
        <v>209664</v>
      </c>
      <c r="E7" s="37" t="n">
        <f aca="false">Assumptions!$E$65</f>
        <v>130000</v>
      </c>
      <c r="F7" s="17" t="n">
        <f aca="false">D7*E7/1000000000</f>
        <v>27.25632</v>
      </c>
      <c r="G7" s="37" t="n">
        <f aca="false">Assumptions!$F$65</f>
        <v>36000</v>
      </c>
      <c r="H7" s="17" t="n">
        <f aca="false">D7*G7/1000000000</f>
        <v>7.547904</v>
      </c>
    </row>
    <row r="8" customFormat="false" ht="15" hidden="false" customHeight="true" outlineLevel="0" collapsed="false">
      <c r="A8" s="38" t="s">
        <v>143</v>
      </c>
      <c r="B8" s="39" t="n">
        <f aca="false">SUM(B5:B7)</f>
        <v>5581.31046476762</v>
      </c>
      <c r="D8" s="39" t="n">
        <f aca="false">SUM(D5:D7)</f>
        <v>1048320</v>
      </c>
      <c r="F8" s="40" t="n">
        <f aca="false">SUM(F5:F7)</f>
        <v>93.82464</v>
      </c>
      <c r="H8" s="40" t="n">
        <f aca="false">SUM(H5:H7)</f>
        <v>28.933632</v>
      </c>
    </row>
    <row r="9" customFormat="false" ht="15" hidden="false" customHeight="true" outlineLevel="0" collapsed="false">
      <c r="A9" s="10" t="s">
        <v>144</v>
      </c>
      <c r="D9" s="36" t="n">
        <f aca="false">Assumptions!$C$40*1000000*(1-Assumptions!$L$40)</f>
        <v>8736000</v>
      </c>
      <c r="E9" s="37" t="n">
        <f aca="false">Assumptions!$E$40</f>
        <v>6000</v>
      </c>
      <c r="F9" s="17" t="n">
        <f aca="false">D9*E9/1000000000</f>
        <v>52.416</v>
      </c>
    </row>
    <row r="10" customFormat="false" ht="15" hidden="false" customHeight="true" outlineLevel="0" collapsed="false">
      <c r="A10" s="10" t="s">
        <v>145</v>
      </c>
      <c r="B10" s="41" t="n">
        <f aca="false">Assumptions!$G$40</f>
        <v>1</v>
      </c>
    </row>
    <row r="11" customFormat="false" ht="15" hidden="false" customHeight="true" outlineLevel="0" collapsed="false">
      <c r="A11" s="38" t="s">
        <v>146</v>
      </c>
      <c r="F11" s="40" t="n">
        <f aca="false">F8*B10</f>
        <v>93.82464</v>
      </c>
      <c r="G11" s="10" t="s">
        <v>147</v>
      </c>
      <c r="H11" s="17" t="n">
        <f aca="false">H8*B10</f>
        <v>28.933632</v>
      </c>
    </row>
    <row r="12" customFormat="false" ht="15" hidden="false" customHeight="true" outlineLevel="0" collapsed="false">
      <c r="A12" s="10" t="s">
        <v>148</v>
      </c>
      <c r="F12" s="17" t="n">
        <f aca="false">F9*B10</f>
        <v>52.416</v>
      </c>
    </row>
    <row r="13" customFormat="false" ht="15" hidden="false" customHeight="true" outlineLevel="0" collapsed="false">
      <c r="A13" s="38" t="s">
        <v>149</v>
      </c>
      <c r="F13" s="40" t="n">
        <f aca="false">F11-H11-F12</f>
        <v>12.475008</v>
      </c>
      <c r="G13" s="10" t="s">
        <v>150</v>
      </c>
      <c r="H13" s="16" t="n">
        <f aca="false">IF(F11=0,0,(F11-H11-F12)/F11)</f>
        <v>0.132960893854749</v>
      </c>
    </row>
    <row r="15" customFormat="false" ht="15" hidden="false" customHeight="true" outlineLevel="0" collapsed="false">
      <c r="A15" s="34" t="s">
        <v>151</v>
      </c>
    </row>
    <row r="16" customFormat="false" ht="15" hidden="false" customHeight="true" outlineLevel="0" collapsed="false">
      <c r="A16" s="27" t="s">
        <v>121</v>
      </c>
      <c r="B16" s="28" t="s">
        <v>137</v>
      </c>
      <c r="C16" s="28" t="s">
        <v>138</v>
      </c>
      <c r="D16" s="28" t="s">
        <v>139</v>
      </c>
      <c r="E16" s="28" t="s">
        <v>124</v>
      </c>
      <c r="F16" s="28" t="s">
        <v>140</v>
      </c>
      <c r="G16" s="28" t="s">
        <v>141</v>
      </c>
      <c r="H16" s="28" t="s">
        <v>142</v>
      </c>
    </row>
    <row r="17" customFormat="false" ht="15" hidden="false" customHeight="true" outlineLevel="0" collapsed="false">
      <c r="A17" s="35" t="str">
        <f aca="false">Assumptions!$B$66</f>
        <v>Serviced Apt</v>
      </c>
      <c r="B17" s="36" t="n">
        <f aca="false">D17/Assumptions!$D$66</f>
        <v>3740</v>
      </c>
      <c r="C17" s="37" t="n">
        <f aca="false">Assumptions!$D$66</f>
        <v>120</v>
      </c>
      <c r="D17" s="36" t="n">
        <f aca="false">Assumptions!$C$41*1000000*Assumptions!$D$41*(1-Assumptions!$L$41)*Assumptions!$C$66</f>
        <v>448800</v>
      </c>
      <c r="E17" s="37" t="n">
        <f aca="false">Assumptions!$E$66</f>
        <v>120000</v>
      </c>
      <c r="F17" s="17" t="n">
        <f aca="false">D17*E17/1000000000</f>
        <v>53.856</v>
      </c>
      <c r="G17" s="37" t="n">
        <f aca="false">Assumptions!$F$66</f>
        <v>42000</v>
      </c>
      <c r="H17" s="17" t="n">
        <f aca="false">D17*G17/1000000000</f>
        <v>18.8496</v>
      </c>
    </row>
    <row r="18" customFormat="false" ht="15" hidden="false" customHeight="true" outlineLevel="0" collapsed="false">
      <c r="A18" s="35" t="str">
        <f aca="false">Assumptions!$B$67</f>
        <v>Office</v>
      </c>
      <c r="B18" s="36" t="n">
        <f aca="false">D18/Assumptions!$D$67</f>
        <v>2181.66666666667</v>
      </c>
      <c r="C18" s="37" t="n">
        <f aca="false">Assumptions!$D$67</f>
        <v>180</v>
      </c>
      <c r="D18" s="36" t="n">
        <f aca="false">Assumptions!$C$41*1000000*Assumptions!$D$41*(1-Assumptions!$L$41)*Assumptions!$C$67</f>
        <v>392700</v>
      </c>
      <c r="E18" s="37" t="n">
        <f aca="false">Assumptions!$E$67</f>
        <v>110000</v>
      </c>
      <c r="F18" s="17" t="n">
        <f aca="false">D18*E18/1000000000</f>
        <v>43.197</v>
      </c>
      <c r="G18" s="37" t="n">
        <f aca="false">Assumptions!$F$67</f>
        <v>40000</v>
      </c>
      <c r="H18" s="17" t="n">
        <f aca="false">D18*G18/1000000000</f>
        <v>15.708</v>
      </c>
    </row>
    <row r="19" customFormat="false" ht="15" hidden="false" customHeight="true" outlineLevel="0" collapsed="false">
      <c r="A19" s="35" t="str">
        <f aca="false">Assumptions!$B$68</f>
        <v>Retail/F&amp;B</v>
      </c>
      <c r="B19" s="36" t="n">
        <f aca="false">D19/Assumptions!$D$68</f>
        <v>1870</v>
      </c>
      <c r="C19" s="37" t="n">
        <f aca="false">Assumptions!$D$68</f>
        <v>150</v>
      </c>
      <c r="D19" s="36" t="n">
        <f aca="false">Assumptions!$C$41*1000000*Assumptions!$D$41*(1-Assumptions!$L$41)*Assumptions!$C$68</f>
        <v>280500</v>
      </c>
      <c r="E19" s="37" t="n">
        <f aca="false">Assumptions!$E$68</f>
        <v>165000</v>
      </c>
      <c r="F19" s="17" t="n">
        <f aca="false">D19*E19/1000000000</f>
        <v>46.2825</v>
      </c>
      <c r="G19" s="37" t="n">
        <f aca="false">Assumptions!$F$68</f>
        <v>55000</v>
      </c>
      <c r="H19" s="17" t="n">
        <f aca="false">D19*G19/1000000000</f>
        <v>15.4275</v>
      </c>
    </row>
    <row r="20" customFormat="false" ht="15" hidden="false" customHeight="true" outlineLevel="0" collapsed="false">
      <c r="A20" s="38" t="s">
        <v>143</v>
      </c>
      <c r="B20" s="39" t="n">
        <f aca="false">SUM(B17:B19)</f>
        <v>7791.66666666667</v>
      </c>
      <c r="D20" s="39" t="n">
        <f aca="false">SUM(D17:D19)</f>
        <v>1122000</v>
      </c>
      <c r="F20" s="40" t="n">
        <f aca="false">SUM(F17:F19)</f>
        <v>143.3355</v>
      </c>
      <c r="H20" s="40" t="n">
        <f aca="false">SUM(H17:H19)</f>
        <v>49.9851</v>
      </c>
    </row>
    <row r="21" customFormat="false" ht="15" hidden="false" customHeight="true" outlineLevel="0" collapsed="false">
      <c r="A21" s="10" t="s">
        <v>144</v>
      </c>
      <c r="D21" s="36" t="n">
        <f aca="false">Assumptions!$C$41*1000000*(1-Assumptions!$L$41)</f>
        <v>5100000</v>
      </c>
      <c r="E21" s="37" t="n">
        <f aca="false">Assumptions!$E$41</f>
        <v>12000</v>
      </c>
      <c r="F21" s="17" t="n">
        <f aca="false">D21*E21/1000000000</f>
        <v>61.2</v>
      </c>
    </row>
    <row r="22" customFormat="false" ht="15" hidden="false" customHeight="true" outlineLevel="0" collapsed="false">
      <c r="A22" s="10" t="s">
        <v>145</v>
      </c>
      <c r="B22" s="41" t="n">
        <f aca="false">Assumptions!$G$41</f>
        <v>1</v>
      </c>
    </row>
    <row r="23" customFormat="false" ht="15" hidden="false" customHeight="true" outlineLevel="0" collapsed="false">
      <c r="A23" s="38" t="s">
        <v>146</v>
      </c>
      <c r="F23" s="40" t="n">
        <f aca="false">F20*B22</f>
        <v>143.3355</v>
      </c>
      <c r="G23" s="10" t="s">
        <v>147</v>
      </c>
      <c r="H23" s="17" t="n">
        <f aca="false">H20*B22</f>
        <v>49.9851</v>
      </c>
    </row>
    <row r="24" customFormat="false" ht="15" hidden="false" customHeight="true" outlineLevel="0" collapsed="false">
      <c r="A24" s="10" t="s">
        <v>148</v>
      </c>
      <c r="F24" s="17" t="n">
        <f aca="false">F21*B22</f>
        <v>61.2</v>
      </c>
    </row>
    <row r="25" customFormat="false" ht="15" hidden="false" customHeight="true" outlineLevel="0" collapsed="false">
      <c r="A25" s="38" t="s">
        <v>149</v>
      </c>
      <c r="F25" s="40" t="n">
        <f aca="false">F23-H23-F24</f>
        <v>32.1504</v>
      </c>
      <c r="G25" s="10" t="s">
        <v>150</v>
      </c>
      <c r="H25" s="16" t="n">
        <f aca="false">IF(F23=0,0,(F23-H23-F24)/F23)</f>
        <v>0.224301725671589</v>
      </c>
    </row>
    <row r="27" customFormat="false" ht="15" hidden="false" customHeight="true" outlineLevel="0" collapsed="false">
      <c r="A27" s="34" t="s">
        <v>152</v>
      </c>
    </row>
    <row r="28" customFormat="false" ht="15" hidden="false" customHeight="true" outlineLevel="0" collapsed="false">
      <c r="A28" s="27" t="s">
        <v>121</v>
      </c>
      <c r="B28" s="28" t="s">
        <v>137</v>
      </c>
      <c r="C28" s="28" t="s">
        <v>138</v>
      </c>
      <c r="D28" s="28" t="s">
        <v>139</v>
      </c>
      <c r="E28" s="28" t="s">
        <v>124</v>
      </c>
      <c r="F28" s="28" t="s">
        <v>140</v>
      </c>
      <c r="G28" s="28" t="s">
        <v>141</v>
      </c>
      <c r="H28" s="28" t="s">
        <v>142</v>
      </c>
    </row>
    <row r="29" customFormat="false" ht="15" hidden="false" customHeight="true" outlineLevel="0" collapsed="false">
      <c r="A29" s="35" t="str">
        <f aca="false">Assumptions!$B$69</f>
        <v>Apartment</v>
      </c>
      <c r="B29" s="36" t="n">
        <f aca="false">D29/Assumptions!$D$69</f>
        <v>389.424</v>
      </c>
      <c r="C29" s="37" t="n">
        <f aca="false">Assumptions!$D$69</f>
        <v>150</v>
      </c>
      <c r="D29" s="36" t="n">
        <f aca="false">Assumptions!$C$42*1000000*Assumptions!$D$42*(1-Assumptions!$L$42)*Assumptions!$C$69</f>
        <v>58413.6</v>
      </c>
      <c r="E29" s="37" t="n">
        <f aca="false">Assumptions!$E$69</f>
        <v>110000</v>
      </c>
      <c r="F29" s="17" t="n">
        <f aca="false">D29*E29/1000000000</f>
        <v>6.425496</v>
      </c>
      <c r="G29" s="37" t="n">
        <f aca="false">Assumptions!$F$69</f>
        <v>36000</v>
      </c>
      <c r="H29" s="17" t="n">
        <f aca="false">D29*G29/1000000000</f>
        <v>2.1028896</v>
      </c>
    </row>
    <row r="30" customFormat="false" ht="15" hidden="false" customHeight="true" outlineLevel="0" collapsed="false">
      <c r="A30" s="35" t="str">
        <f aca="false">Assumptions!$B$70</f>
        <v>Townhouse/Twin</v>
      </c>
      <c r="B30" s="36" t="n">
        <f aca="false">D30/Assumptions!$D$70</f>
        <v>243.39</v>
      </c>
      <c r="C30" s="37" t="n">
        <f aca="false">Assumptions!$D$70</f>
        <v>240</v>
      </c>
      <c r="D30" s="36" t="n">
        <f aca="false">Assumptions!$C$42*1000000*Assumptions!$D$42*(1-Assumptions!$L$42)*Assumptions!$C$70</f>
        <v>58413.6</v>
      </c>
      <c r="E30" s="37" t="n">
        <f aca="false">Assumptions!$E$70</f>
        <v>135000</v>
      </c>
      <c r="F30" s="17" t="n">
        <f aca="false">D30*E30/1000000000</f>
        <v>7.885836</v>
      </c>
      <c r="G30" s="37" t="n">
        <f aca="false">Assumptions!$F$70</f>
        <v>40000</v>
      </c>
      <c r="H30" s="17" t="n">
        <f aca="false">D30*G30/1000000000</f>
        <v>2.336544</v>
      </c>
    </row>
    <row r="31" customFormat="false" ht="15" hidden="false" customHeight="true" outlineLevel="0" collapsed="false">
      <c r="A31" s="35" t="str">
        <f aca="false">Assumptions!$B$71</f>
        <v>Villa</v>
      </c>
      <c r="B31" s="36" t="n">
        <f aca="false">D31/Assumptions!$D$71</f>
        <v>216.346666666667</v>
      </c>
      <c r="C31" s="37" t="n">
        <f aca="false">Assumptions!$D$71</f>
        <v>360</v>
      </c>
      <c r="D31" s="36" t="n">
        <f aca="false">Assumptions!$C$42*1000000*Assumptions!$D$42*(1-Assumptions!$L$42)*Assumptions!$C$71</f>
        <v>77884.8</v>
      </c>
      <c r="E31" s="37" t="n">
        <f aca="false">Assumptions!$E$71</f>
        <v>175000</v>
      </c>
      <c r="F31" s="17" t="n">
        <f aca="false">D31*E31/1000000000</f>
        <v>13.62984</v>
      </c>
      <c r="G31" s="37" t="n">
        <f aca="false">Assumptions!$F$71</f>
        <v>48000</v>
      </c>
      <c r="H31" s="17" t="n">
        <f aca="false">D31*G31/1000000000</f>
        <v>3.7384704</v>
      </c>
    </row>
    <row r="32" customFormat="false" ht="15" hidden="false" customHeight="true" outlineLevel="0" collapsed="false">
      <c r="A32" s="38" t="s">
        <v>143</v>
      </c>
      <c r="B32" s="39" t="n">
        <f aca="false">SUM(B29:B31)</f>
        <v>849.160666666667</v>
      </c>
      <c r="D32" s="39" t="n">
        <f aca="false">SUM(D29:D31)</f>
        <v>194712</v>
      </c>
      <c r="F32" s="40" t="n">
        <f aca="false">SUM(F29:F31)</f>
        <v>27.941172</v>
      </c>
      <c r="H32" s="40" t="n">
        <f aca="false">SUM(H29:H31)</f>
        <v>8.177904</v>
      </c>
    </row>
    <row r="33" customFormat="false" ht="15" hidden="false" customHeight="true" outlineLevel="0" collapsed="false">
      <c r="A33" s="10" t="s">
        <v>144</v>
      </c>
      <c r="D33" s="36" t="n">
        <f aca="false">Assumptions!$C$42*1000000*(1-Assumptions!$L$42)</f>
        <v>486780</v>
      </c>
      <c r="E33" s="37" t="n">
        <f aca="false">Assumptions!$E$42</f>
        <v>9000</v>
      </c>
      <c r="F33" s="17" t="n">
        <f aca="false">D33*E33/1000000000</f>
        <v>4.38102</v>
      </c>
    </row>
    <row r="34" customFormat="false" ht="15" hidden="false" customHeight="true" outlineLevel="0" collapsed="false">
      <c r="A34" s="10" t="s">
        <v>145</v>
      </c>
      <c r="B34" s="41" t="n">
        <f aca="false">Assumptions!$G$42</f>
        <v>1</v>
      </c>
    </row>
    <row r="35" customFormat="false" ht="15" hidden="false" customHeight="true" outlineLevel="0" collapsed="false">
      <c r="A35" s="38" t="s">
        <v>146</v>
      </c>
      <c r="F35" s="40" t="n">
        <f aca="false">F32*B34</f>
        <v>27.941172</v>
      </c>
      <c r="G35" s="10" t="s">
        <v>147</v>
      </c>
      <c r="H35" s="17" t="n">
        <f aca="false">H32*B34</f>
        <v>8.177904</v>
      </c>
    </row>
    <row r="36" customFormat="false" ht="15" hidden="false" customHeight="true" outlineLevel="0" collapsed="false">
      <c r="A36" s="10" t="s">
        <v>148</v>
      </c>
      <c r="F36" s="17" t="n">
        <f aca="false">F33*B34</f>
        <v>4.38102</v>
      </c>
    </row>
    <row r="37" customFormat="false" ht="15" hidden="false" customHeight="true" outlineLevel="0" collapsed="false">
      <c r="A37" s="38" t="s">
        <v>149</v>
      </c>
      <c r="F37" s="40" t="n">
        <f aca="false">F35-H35-F36</f>
        <v>15.382248</v>
      </c>
      <c r="G37" s="10" t="s">
        <v>150</v>
      </c>
      <c r="H37" s="16" t="n">
        <f aca="false">IF(F35=0,0,(F35-H35-F36)/F35)</f>
        <v>0.550522648083624</v>
      </c>
    </row>
    <row r="39" customFormat="false" ht="15" hidden="false" customHeight="true" outlineLevel="0" collapsed="false">
      <c r="A39" s="34" t="s">
        <v>153</v>
      </c>
    </row>
    <row r="40" customFormat="false" ht="15" hidden="false" customHeight="true" outlineLevel="0" collapsed="false">
      <c r="A40" s="27" t="s">
        <v>121</v>
      </c>
      <c r="B40" s="28" t="s">
        <v>137</v>
      </c>
      <c r="C40" s="28" t="s">
        <v>138</v>
      </c>
      <c r="D40" s="28" t="s">
        <v>139</v>
      </c>
      <c r="E40" s="28" t="s">
        <v>124</v>
      </c>
      <c r="F40" s="28" t="s">
        <v>140</v>
      </c>
      <c r="G40" s="28" t="s">
        <v>141</v>
      </c>
      <c r="H40" s="28" t="s">
        <v>142</v>
      </c>
    </row>
    <row r="41" customFormat="false" ht="15" hidden="false" customHeight="true" outlineLevel="0" collapsed="false">
      <c r="A41" s="35" t="str">
        <f aca="false">Assumptions!$B$72</f>
        <v>Chalet</v>
      </c>
      <c r="B41" s="36" t="n">
        <f aca="false">D41/Assumptions!$D$72</f>
        <v>5060</v>
      </c>
      <c r="C41" s="37" t="n">
        <f aca="false">Assumptions!$D$72</f>
        <v>125</v>
      </c>
      <c r="D41" s="36" t="n">
        <f aca="false">Assumptions!$C$43*1000000*Assumptions!$D$43*(1-Assumptions!$L$43)*Assumptions!$C$72</f>
        <v>632500</v>
      </c>
      <c r="E41" s="37" t="n">
        <f aca="false">Assumptions!$E$72</f>
        <v>95000</v>
      </c>
      <c r="F41" s="17" t="n">
        <f aca="false">D41*E41/1000000000</f>
        <v>60.0875</v>
      </c>
      <c r="G41" s="37" t="n">
        <f aca="false">Assumptions!$F$72</f>
        <v>30000</v>
      </c>
      <c r="H41" s="17" t="n">
        <f aca="false">D41*G41/1000000000</f>
        <v>18.975</v>
      </c>
    </row>
    <row r="42" customFormat="false" ht="15" hidden="false" customHeight="true" outlineLevel="0" collapsed="false">
      <c r="A42" s="35" t="str">
        <f aca="false">Assumptions!$B$73</f>
        <v>Townhouse</v>
      </c>
      <c r="B42" s="36" t="n">
        <f aca="false">D42/Assumptions!$D$73</f>
        <v>1474.35897435897</v>
      </c>
      <c r="C42" s="37" t="n">
        <f aca="false">Assumptions!$D$73</f>
        <v>195</v>
      </c>
      <c r="D42" s="36" t="n">
        <f aca="false">Assumptions!$C$43*1000000*Assumptions!$D$43*(1-Assumptions!$L$43)*Assumptions!$C$73</f>
        <v>287500</v>
      </c>
      <c r="E42" s="37" t="n">
        <f aca="false">Assumptions!$E$73</f>
        <v>115000</v>
      </c>
      <c r="F42" s="17" t="n">
        <f aca="false">D42*E42/1000000000</f>
        <v>33.0625</v>
      </c>
      <c r="G42" s="37" t="n">
        <f aca="false">Assumptions!$F$73</f>
        <v>35000</v>
      </c>
      <c r="H42" s="17" t="n">
        <f aca="false">D42*G42/1000000000</f>
        <v>10.0625</v>
      </c>
    </row>
    <row r="43" customFormat="false" ht="15" hidden="false" customHeight="true" outlineLevel="0" collapsed="false">
      <c r="A43" s="35" t="str">
        <f aca="false">Assumptions!$B$74</f>
        <v>Villa</v>
      </c>
      <c r="B43" s="36" t="n">
        <f aca="false">D43/Assumptions!$D$74</f>
        <v>696.969696969697</v>
      </c>
      <c r="C43" s="37" t="n">
        <f aca="false">Assumptions!$D$74</f>
        <v>330</v>
      </c>
      <c r="D43" s="36" t="n">
        <f aca="false">Assumptions!$C$43*1000000*Assumptions!$D$43*(1-Assumptions!$L$43)*Assumptions!$C$74</f>
        <v>230000</v>
      </c>
      <c r="E43" s="37" t="n">
        <f aca="false">Assumptions!$E$74</f>
        <v>150000</v>
      </c>
      <c r="F43" s="17" t="n">
        <f aca="false">D43*E43/1000000000</f>
        <v>34.5</v>
      </c>
      <c r="G43" s="37" t="n">
        <f aca="false">Assumptions!$F$74</f>
        <v>45000</v>
      </c>
      <c r="H43" s="17" t="n">
        <f aca="false">D43*G43/1000000000</f>
        <v>10.35</v>
      </c>
    </row>
    <row r="44" customFormat="false" ht="15" hidden="false" customHeight="true" outlineLevel="0" collapsed="false">
      <c r="A44" s="38" t="s">
        <v>143</v>
      </c>
      <c r="B44" s="39" t="n">
        <f aca="false">SUM(B41:B43)</f>
        <v>7231.32867132867</v>
      </c>
      <c r="D44" s="39" t="n">
        <f aca="false">SUM(D41:D43)</f>
        <v>1150000</v>
      </c>
      <c r="F44" s="40" t="n">
        <f aca="false">SUM(F41:F43)</f>
        <v>127.65</v>
      </c>
      <c r="H44" s="40" t="n">
        <f aca="false">SUM(H41:H43)</f>
        <v>39.3875</v>
      </c>
    </row>
    <row r="45" customFormat="false" ht="15" hidden="false" customHeight="true" outlineLevel="0" collapsed="false">
      <c r="A45" s="10" t="s">
        <v>144</v>
      </c>
      <c r="D45" s="36" t="n">
        <f aca="false">Assumptions!$C$43*1000000*(1-Assumptions!$L$43)</f>
        <v>11500000</v>
      </c>
      <c r="E45" s="37" t="n">
        <f aca="false">Assumptions!$E$43</f>
        <v>5000</v>
      </c>
      <c r="F45" s="17" t="n">
        <f aca="false">D45*E45/1000000000</f>
        <v>57.5</v>
      </c>
    </row>
    <row r="46" customFormat="false" ht="15" hidden="false" customHeight="true" outlineLevel="0" collapsed="false">
      <c r="A46" s="10" t="s">
        <v>145</v>
      </c>
      <c r="B46" s="41" t="n">
        <f aca="false">Assumptions!$G$43</f>
        <v>1</v>
      </c>
    </row>
    <row r="47" customFormat="false" ht="15" hidden="false" customHeight="true" outlineLevel="0" collapsed="false">
      <c r="A47" s="38" t="s">
        <v>146</v>
      </c>
      <c r="F47" s="40" t="n">
        <f aca="false">F44*B46</f>
        <v>127.65</v>
      </c>
      <c r="G47" s="10" t="s">
        <v>147</v>
      </c>
      <c r="H47" s="17" t="n">
        <f aca="false">H44*B46</f>
        <v>39.3875</v>
      </c>
    </row>
    <row r="48" customFormat="false" ht="15" hidden="false" customHeight="true" outlineLevel="0" collapsed="false">
      <c r="A48" s="10" t="s">
        <v>148</v>
      </c>
      <c r="F48" s="17" t="n">
        <f aca="false">F45*B46</f>
        <v>57.5</v>
      </c>
    </row>
    <row r="49" customFormat="false" ht="15" hidden="false" customHeight="true" outlineLevel="0" collapsed="false">
      <c r="A49" s="38" t="s">
        <v>149</v>
      </c>
      <c r="F49" s="40" t="n">
        <f aca="false">F47-H47-F48</f>
        <v>30.7625</v>
      </c>
      <c r="G49" s="10" t="s">
        <v>150</v>
      </c>
      <c r="H49" s="16" t="n">
        <f aca="false">IF(F47=0,0,(F47-H47-F48)/F47)</f>
        <v>0.240990990990991</v>
      </c>
    </row>
    <row r="51" customFormat="false" ht="15" hidden="false" customHeight="true" outlineLevel="0" collapsed="false">
      <c r="A51" s="34" t="s">
        <v>154</v>
      </c>
    </row>
    <row r="52" customFormat="false" ht="15" hidden="false" customHeight="true" outlineLevel="0" collapsed="false">
      <c r="A52" s="27" t="s">
        <v>121</v>
      </c>
      <c r="B52" s="28" t="s">
        <v>137</v>
      </c>
      <c r="C52" s="28" t="s">
        <v>138</v>
      </c>
      <c r="D52" s="28" t="s">
        <v>139</v>
      </c>
      <c r="E52" s="28" t="s">
        <v>124</v>
      </c>
      <c r="F52" s="28" t="s">
        <v>140</v>
      </c>
      <c r="G52" s="28" t="s">
        <v>141</v>
      </c>
      <c r="H52" s="28" t="s">
        <v>142</v>
      </c>
    </row>
    <row r="53" customFormat="false" ht="15" hidden="false" customHeight="true" outlineLevel="0" collapsed="false">
      <c r="A53" s="35" t="str">
        <f aca="false">Assumptions!$B$75</f>
        <v>Apartment</v>
      </c>
      <c r="B53" s="36" t="n">
        <f aca="false">D53/Assumptions!$D$75</f>
        <v>4706.89655172414</v>
      </c>
      <c r="C53" s="37" t="n">
        <f aca="false">Assumptions!$D$75</f>
        <v>145</v>
      </c>
      <c r="D53" s="36" t="n">
        <f aca="false">Assumptions!$C$44*1000000*Assumptions!$D$44*(1-Assumptions!$L$44)*Assumptions!$C$75</f>
        <v>682500</v>
      </c>
      <c r="E53" s="37" t="n">
        <f aca="false">Assumptions!$E$75</f>
        <v>60000</v>
      </c>
      <c r="F53" s="17" t="n">
        <f aca="false">D53*E53/1000000000</f>
        <v>40.95</v>
      </c>
      <c r="G53" s="37" t="n">
        <f aca="false">Assumptions!$F$75</f>
        <v>22000</v>
      </c>
      <c r="H53" s="17" t="n">
        <f aca="false">D53*G53/1000000000</f>
        <v>15.015</v>
      </c>
    </row>
    <row r="54" customFormat="false" ht="15" hidden="false" customHeight="true" outlineLevel="0" collapsed="false">
      <c r="A54" s="35" t="str">
        <f aca="false">Assumptions!$B$76</f>
        <v>Townhouse/Twin</v>
      </c>
      <c r="B54" s="36" t="n">
        <f aca="false">D54/Assumptions!$D$76</f>
        <v>1820</v>
      </c>
      <c r="C54" s="37" t="n">
        <f aca="false">Assumptions!$D$76</f>
        <v>225</v>
      </c>
      <c r="D54" s="36" t="n">
        <f aca="false">Assumptions!$C$44*1000000*Assumptions!$D$44*(1-Assumptions!$L$44)*Assumptions!$C$76</f>
        <v>409500</v>
      </c>
      <c r="E54" s="37" t="n">
        <f aca="false">Assumptions!$E$76</f>
        <v>78000</v>
      </c>
      <c r="F54" s="17" t="n">
        <f aca="false">D54*E54/1000000000</f>
        <v>31.941</v>
      </c>
      <c r="G54" s="37" t="n">
        <f aca="false">Assumptions!$F$76</f>
        <v>26000</v>
      </c>
      <c r="H54" s="17" t="n">
        <f aca="false">D54*G54/1000000000</f>
        <v>10.647</v>
      </c>
    </row>
    <row r="55" customFormat="false" ht="15" hidden="false" customHeight="true" outlineLevel="0" collapsed="false">
      <c r="A55" s="35" t="str">
        <f aca="false">Assumptions!$B$77</f>
        <v>Villa</v>
      </c>
      <c r="B55" s="36" t="n">
        <f aca="false">D55/Assumptions!$D$77</f>
        <v>791.304347826087</v>
      </c>
      <c r="C55" s="37" t="n">
        <f aca="false">Assumptions!$D$77</f>
        <v>345</v>
      </c>
      <c r="D55" s="36" t="n">
        <f aca="false">Assumptions!$C$44*1000000*Assumptions!$D$44*(1-Assumptions!$L$44)*Assumptions!$C$77</f>
        <v>273000</v>
      </c>
      <c r="E55" s="37" t="n">
        <f aca="false">Assumptions!$E$77</f>
        <v>100000</v>
      </c>
      <c r="F55" s="17" t="n">
        <f aca="false">D55*E55/1000000000</f>
        <v>27.3</v>
      </c>
      <c r="G55" s="37" t="n">
        <f aca="false">Assumptions!$F$77</f>
        <v>34000</v>
      </c>
      <c r="H55" s="17" t="n">
        <f aca="false">D55*G55/1000000000</f>
        <v>9.282</v>
      </c>
    </row>
    <row r="56" customFormat="false" ht="15" hidden="false" customHeight="true" outlineLevel="0" collapsed="false">
      <c r="A56" s="38" t="s">
        <v>143</v>
      </c>
      <c r="B56" s="39" t="n">
        <f aca="false">SUM(B53:B55)</f>
        <v>7318.20089955023</v>
      </c>
      <c r="D56" s="39" t="n">
        <f aca="false">SUM(D53:D55)</f>
        <v>1365000</v>
      </c>
      <c r="F56" s="40" t="n">
        <f aca="false">SUM(F53:F55)</f>
        <v>100.191</v>
      </c>
      <c r="H56" s="40" t="n">
        <f aca="false">SUM(H53:H55)</f>
        <v>34.944</v>
      </c>
    </row>
    <row r="57" customFormat="false" ht="15" hidden="false" customHeight="true" outlineLevel="0" collapsed="false">
      <c r="A57" s="10" t="s">
        <v>144</v>
      </c>
      <c r="D57" s="36" t="n">
        <f aca="false">Assumptions!$C$44*1000000*(1-Assumptions!$L$44)</f>
        <v>13650000</v>
      </c>
      <c r="E57" s="37" t="n">
        <f aca="false">Assumptions!$E$44</f>
        <v>4500</v>
      </c>
      <c r="F57" s="17" t="n">
        <f aca="false">D57*E57/1000000000</f>
        <v>61.425</v>
      </c>
    </row>
    <row r="58" customFormat="false" ht="15" hidden="false" customHeight="true" outlineLevel="0" collapsed="false">
      <c r="A58" s="10" t="s">
        <v>145</v>
      </c>
      <c r="B58" s="41" t="n">
        <f aca="false">Assumptions!$G$44</f>
        <v>1</v>
      </c>
    </row>
    <row r="59" customFormat="false" ht="15" hidden="false" customHeight="true" outlineLevel="0" collapsed="false">
      <c r="A59" s="38" t="s">
        <v>146</v>
      </c>
      <c r="F59" s="40" t="n">
        <f aca="false">F56*B58</f>
        <v>100.191</v>
      </c>
      <c r="G59" s="10" t="s">
        <v>147</v>
      </c>
      <c r="H59" s="17" t="n">
        <f aca="false">H56*B58</f>
        <v>34.944</v>
      </c>
    </row>
    <row r="60" customFormat="false" ht="15" hidden="false" customHeight="true" outlineLevel="0" collapsed="false">
      <c r="A60" s="10" t="s">
        <v>148</v>
      </c>
      <c r="F60" s="17" t="n">
        <f aca="false">F57*B58</f>
        <v>61.425</v>
      </c>
    </row>
    <row r="61" customFormat="false" ht="15" hidden="false" customHeight="true" outlineLevel="0" collapsed="false">
      <c r="A61" s="38" t="s">
        <v>149</v>
      </c>
      <c r="F61" s="40" t="n">
        <f aca="false">F59-H59-F60</f>
        <v>3.822</v>
      </c>
      <c r="G61" s="10" t="s">
        <v>150</v>
      </c>
      <c r="H61" s="16" t="n">
        <f aca="false">IF(F59=0,0,(F59-H59-F60)/F59)</f>
        <v>0.0381471389645777</v>
      </c>
    </row>
    <row r="63" customFormat="false" ht="15" hidden="false" customHeight="true" outlineLevel="0" collapsed="false">
      <c r="A63" s="34" t="s">
        <v>155</v>
      </c>
    </row>
    <row r="64" customFormat="false" ht="15" hidden="false" customHeight="true" outlineLevel="0" collapsed="false">
      <c r="A64" s="27" t="s">
        <v>121</v>
      </c>
      <c r="B64" s="28" t="s">
        <v>137</v>
      </c>
      <c r="C64" s="28" t="s">
        <v>138</v>
      </c>
      <c r="D64" s="28" t="s">
        <v>139</v>
      </c>
      <c r="E64" s="28" t="s">
        <v>124</v>
      </c>
      <c r="F64" s="28" t="s">
        <v>140</v>
      </c>
      <c r="G64" s="28" t="s">
        <v>141</v>
      </c>
      <c r="H64" s="28" t="s">
        <v>142</v>
      </c>
    </row>
    <row r="65" customFormat="false" ht="15" hidden="false" customHeight="true" outlineLevel="0" collapsed="false">
      <c r="A65" s="35" t="str">
        <f aca="false">Assumptions!$B$78</f>
        <v>Apartment</v>
      </c>
      <c r="B65" s="36" t="n">
        <f aca="false">D65/Assumptions!$D$78</f>
        <v>1260</v>
      </c>
      <c r="C65" s="37" t="n">
        <f aca="false">Assumptions!$D$78</f>
        <v>150</v>
      </c>
      <c r="D65" s="36" t="n">
        <f aca="false">Assumptions!$C$45*1000000*Assumptions!$D$45*(1-Assumptions!$L$45)*Assumptions!$C$78</f>
        <v>189000</v>
      </c>
      <c r="E65" s="37" t="n">
        <f aca="false">Assumptions!$E$78</f>
        <v>66000</v>
      </c>
      <c r="F65" s="17" t="n">
        <f aca="false">D65*E65/1000000000</f>
        <v>12.474</v>
      </c>
      <c r="G65" s="37" t="n">
        <f aca="false">Assumptions!$F$78</f>
        <v>24000</v>
      </c>
      <c r="H65" s="17" t="n">
        <f aca="false">D65*G65/1000000000</f>
        <v>4.536</v>
      </c>
    </row>
    <row r="66" customFormat="false" ht="15" hidden="false" customHeight="true" outlineLevel="0" collapsed="false">
      <c r="A66" s="35" t="str">
        <f aca="false">Assumptions!$B$79</f>
        <v>Townhouse/Twin</v>
      </c>
      <c r="B66" s="36" t="n">
        <f aca="false">D66/Assumptions!$D$79</f>
        <v>560</v>
      </c>
      <c r="C66" s="37" t="n">
        <f aca="false">Assumptions!$D$79</f>
        <v>225</v>
      </c>
      <c r="D66" s="36" t="n">
        <f aca="false">Assumptions!$C$45*1000000*Assumptions!$D$45*(1-Assumptions!$L$45)*Assumptions!$C$79</f>
        <v>126000</v>
      </c>
      <c r="E66" s="37" t="n">
        <f aca="false">Assumptions!$E$79</f>
        <v>84000</v>
      </c>
      <c r="F66" s="17" t="n">
        <f aca="false">D66*E66/1000000000</f>
        <v>10.584</v>
      </c>
      <c r="G66" s="37" t="n">
        <f aca="false">Assumptions!$F$79</f>
        <v>28000</v>
      </c>
      <c r="H66" s="17" t="n">
        <f aca="false">D66*G66/1000000000</f>
        <v>3.528</v>
      </c>
    </row>
    <row r="67" customFormat="false" ht="15" hidden="false" customHeight="true" outlineLevel="0" collapsed="false">
      <c r="A67" s="35" t="str">
        <f aca="false">Assumptions!$B$80</f>
        <v>Villa</v>
      </c>
      <c r="B67" s="36" t="n">
        <f aca="false">D67/Assumptions!$D$80</f>
        <v>300</v>
      </c>
      <c r="C67" s="37" t="n">
        <f aca="false">Assumptions!$D$80</f>
        <v>350</v>
      </c>
      <c r="D67" s="36" t="n">
        <f aca="false">Assumptions!$C$45*1000000*Assumptions!$D$45*(1-Assumptions!$L$45)*Assumptions!$C$80</f>
        <v>105000</v>
      </c>
      <c r="E67" s="37" t="n">
        <f aca="false">Assumptions!$E$80</f>
        <v>112000</v>
      </c>
      <c r="F67" s="17" t="n">
        <f aca="false">D67*E67/1000000000</f>
        <v>11.76</v>
      </c>
      <c r="G67" s="37" t="n">
        <f aca="false">Assumptions!$F$80</f>
        <v>36000</v>
      </c>
      <c r="H67" s="17" t="n">
        <f aca="false">D67*G67/1000000000</f>
        <v>3.78</v>
      </c>
    </row>
    <row r="68" customFormat="false" ht="15" hidden="false" customHeight="true" outlineLevel="0" collapsed="false">
      <c r="A68" s="38" t="s">
        <v>143</v>
      </c>
      <c r="B68" s="39" t="n">
        <f aca="false">SUM(B65:B67)</f>
        <v>2120</v>
      </c>
      <c r="D68" s="39" t="n">
        <f aca="false">SUM(D65:D67)</f>
        <v>420000</v>
      </c>
      <c r="F68" s="40" t="n">
        <f aca="false">SUM(F65:F67)</f>
        <v>34.818</v>
      </c>
      <c r="H68" s="40" t="n">
        <f aca="false">SUM(H65:H67)</f>
        <v>11.844</v>
      </c>
    </row>
    <row r="69" customFormat="false" ht="15" hidden="false" customHeight="true" outlineLevel="0" collapsed="false">
      <c r="A69" s="10" t="s">
        <v>144</v>
      </c>
      <c r="D69" s="36" t="n">
        <f aca="false">Assumptions!$C$45*1000000*(1-Assumptions!$L$45)</f>
        <v>1050000</v>
      </c>
      <c r="E69" s="37" t="n">
        <f aca="false">Assumptions!$E$45</f>
        <v>7000</v>
      </c>
      <c r="F69" s="17" t="n">
        <f aca="false">D69*E69/1000000000</f>
        <v>7.35</v>
      </c>
    </row>
    <row r="70" customFormat="false" ht="15" hidden="false" customHeight="true" outlineLevel="0" collapsed="false">
      <c r="A70" s="10" t="s">
        <v>145</v>
      </c>
      <c r="B70" s="41" t="n">
        <f aca="false">Assumptions!$G$45</f>
        <v>1</v>
      </c>
    </row>
    <row r="71" customFormat="false" ht="15" hidden="false" customHeight="true" outlineLevel="0" collapsed="false">
      <c r="A71" s="38" t="s">
        <v>146</v>
      </c>
      <c r="F71" s="40" t="n">
        <f aca="false">F68*B70</f>
        <v>34.818</v>
      </c>
      <c r="G71" s="10" t="s">
        <v>147</v>
      </c>
      <c r="H71" s="17" t="n">
        <f aca="false">H68*B70</f>
        <v>11.844</v>
      </c>
    </row>
    <row r="72" customFormat="false" ht="15" hidden="false" customHeight="true" outlineLevel="0" collapsed="false">
      <c r="A72" s="10" t="s">
        <v>148</v>
      </c>
      <c r="F72" s="17" t="n">
        <f aca="false">F69*B70</f>
        <v>7.35</v>
      </c>
    </row>
    <row r="73" customFormat="false" ht="15" hidden="false" customHeight="true" outlineLevel="0" collapsed="false">
      <c r="A73" s="38" t="s">
        <v>149</v>
      </c>
      <c r="F73" s="40" t="n">
        <f aca="false">F71-H71-F72</f>
        <v>15.624</v>
      </c>
      <c r="G73" s="10" t="s">
        <v>150</v>
      </c>
      <c r="H73" s="16" t="n">
        <f aca="false">IF(F71=0,0,(F71-H71-F72)/F71)</f>
        <v>0.448733413751508</v>
      </c>
    </row>
    <row r="75" customFormat="false" ht="15" hidden="false" customHeight="true" outlineLevel="0" collapsed="false">
      <c r="A75" s="34" t="s">
        <v>156</v>
      </c>
    </row>
    <row r="76" customFormat="false" ht="15" hidden="false" customHeight="true" outlineLevel="0" collapsed="false">
      <c r="A76" s="27" t="s">
        <v>121</v>
      </c>
      <c r="B76" s="28" t="s">
        <v>137</v>
      </c>
      <c r="C76" s="28" t="s">
        <v>138</v>
      </c>
      <c r="D76" s="28" t="s">
        <v>139</v>
      </c>
      <c r="E76" s="28" t="s">
        <v>124</v>
      </c>
      <c r="F76" s="28" t="s">
        <v>140</v>
      </c>
      <c r="G76" s="28" t="s">
        <v>141</v>
      </c>
      <c r="H76" s="28" t="s">
        <v>142</v>
      </c>
    </row>
    <row r="77" customFormat="false" ht="15" hidden="false" customHeight="true" outlineLevel="0" collapsed="false">
      <c r="A77" s="35" t="str">
        <f aca="false">Assumptions!$B$81</f>
        <v>Apartment</v>
      </c>
      <c r="B77" s="36" t="n">
        <f aca="false">D77/Assumptions!$D$81</f>
        <v>589.285714285714</v>
      </c>
      <c r="C77" s="37" t="n">
        <f aca="false">Assumptions!$D$81</f>
        <v>140</v>
      </c>
      <c r="D77" s="36" t="n">
        <f aca="false">Assumptions!$C$46*1000000*Assumptions!$D$46*(1-Assumptions!$L$46)*Assumptions!$C$81</f>
        <v>82500</v>
      </c>
      <c r="E77" s="37" t="n">
        <f aca="false">Assumptions!$E$81</f>
        <v>55000</v>
      </c>
      <c r="F77" s="17" t="n">
        <f aca="false">D77*E77/1000000000</f>
        <v>4.5375</v>
      </c>
      <c r="G77" s="37" t="n">
        <f aca="false">Assumptions!$F$81</f>
        <v>21000</v>
      </c>
      <c r="H77" s="17" t="n">
        <f aca="false">D77*G77/1000000000</f>
        <v>1.7325</v>
      </c>
    </row>
    <row r="78" customFormat="false" ht="15" hidden="false" customHeight="true" outlineLevel="0" collapsed="false">
      <c r="A78" s="35" t="str">
        <f aca="false">Assumptions!$B$82</f>
        <v>Townhouse/Twin</v>
      </c>
      <c r="B78" s="36" t="n">
        <f aca="false">D78/Assumptions!$D$82</f>
        <v>214.285714285714</v>
      </c>
      <c r="C78" s="37" t="n">
        <f aca="false">Assumptions!$D$82</f>
        <v>210</v>
      </c>
      <c r="D78" s="36" t="n">
        <f aca="false">Assumptions!$C$46*1000000*Assumptions!$D$46*(1-Assumptions!$L$46)*Assumptions!$C$82</f>
        <v>45000</v>
      </c>
      <c r="E78" s="37" t="n">
        <f aca="false">Assumptions!$E$82</f>
        <v>68000</v>
      </c>
      <c r="F78" s="17" t="n">
        <f aca="false">D78*E78/1000000000</f>
        <v>3.06</v>
      </c>
      <c r="G78" s="37" t="n">
        <f aca="false">Assumptions!$F$82</f>
        <v>25000</v>
      </c>
      <c r="H78" s="17" t="n">
        <f aca="false">D78*G78/1000000000</f>
        <v>1.125</v>
      </c>
    </row>
    <row r="79" customFormat="false" ht="15" hidden="false" customHeight="true" outlineLevel="0" collapsed="false">
      <c r="A79" s="35" t="str">
        <f aca="false">Assumptions!$B$83</f>
        <v>Villa</v>
      </c>
      <c r="B79" s="36" t="n">
        <f aca="false">D79/Assumptions!$D$83</f>
        <v>68.1818181818182</v>
      </c>
      <c r="C79" s="37" t="n">
        <f aca="false">Assumptions!$D$83</f>
        <v>330</v>
      </c>
      <c r="D79" s="36" t="n">
        <f aca="false">Assumptions!$C$46*1000000*Assumptions!$D$46*(1-Assumptions!$L$46)*Assumptions!$C$83</f>
        <v>22500</v>
      </c>
      <c r="E79" s="37" t="n">
        <f aca="false">Assumptions!$E$83</f>
        <v>90000</v>
      </c>
      <c r="F79" s="17" t="n">
        <f aca="false">D79*E79/1000000000</f>
        <v>2.025</v>
      </c>
      <c r="G79" s="37" t="n">
        <f aca="false">Assumptions!$F$83</f>
        <v>31000</v>
      </c>
      <c r="H79" s="17" t="n">
        <f aca="false">D79*G79/1000000000</f>
        <v>0.6975</v>
      </c>
    </row>
    <row r="80" customFormat="false" ht="15" hidden="false" customHeight="true" outlineLevel="0" collapsed="false">
      <c r="A80" s="38" t="s">
        <v>143</v>
      </c>
      <c r="B80" s="39" t="n">
        <f aca="false">SUM(B77:B79)</f>
        <v>871.753246753247</v>
      </c>
      <c r="D80" s="39" t="n">
        <f aca="false">SUM(D77:D79)</f>
        <v>150000</v>
      </c>
      <c r="F80" s="40" t="n">
        <f aca="false">SUM(F77:F79)</f>
        <v>9.6225</v>
      </c>
      <c r="H80" s="40" t="n">
        <f aca="false">SUM(H77:H79)</f>
        <v>3.555</v>
      </c>
    </row>
    <row r="81" customFormat="false" ht="15" hidden="false" customHeight="true" outlineLevel="0" collapsed="false">
      <c r="A81" s="10" t="s">
        <v>144</v>
      </c>
      <c r="D81" s="36" t="n">
        <f aca="false">Assumptions!$C$46*1000000*(1-Assumptions!$L$46)</f>
        <v>1000000</v>
      </c>
      <c r="E81" s="37" t="n">
        <f aca="false">Assumptions!$E$46</f>
        <v>4000</v>
      </c>
      <c r="F81" s="17" t="n">
        <f aca="false">D81*E81/1000000000</f>
        <v>4</v>
      </c>
    </row>
    <row r="82" customFormat="false" ht="15" hidden="false" customHeight="true" outlineLevel="0" collapsed="false">
      <c r="A82" s="10" t="s">
        <v>145</v>
      </c>
      <c r="B82" s="41" t="n">
        <f aca="false">Assumptions!$G$46</f>
        <v>1</v>
      </c>
    </row>
    <row r="83" customFormat="false" ht="15" hidden="false" customHeight="true" outlineLevel="0" collapsed="false">
      <c r="A83" s="38" t="s">
        <v>146</v>
      </c>
      <c r="F83" s="40" t="n">
        <f aca="false">F80*B82</f>
        <v>9.6225</v>
      </c>
      <c r="G83" s="10" t="s">
        <v>147</v>
      </c>
      <c r="H83" s="17" t="n">
        <f aca="false">H80*B82</f>
        <v>3.555</v>
      </c>
    </row>
    <row r="84" customFormat="false" ht="15" hidden="false" customHeight="true" outlineLevel="0" collapsed="false">
      <c r="A84" s="10" t="s">
        <v>148</v>
      </c>
      <c r="F84" s="17" t="n">
        <f aca="false">F81*B82</f>
        <v>4</v>
      </c>
    </row>
    <row r="85" customFormat="false" ht="15" hidden="false" customHeight="true" outlineLevel="0" collapsed="false">
      <c r="A85" s="38" t="s">
        <v>149</v>
      </c>
      <c r="F85" s="40" t="n">
        <f aca="false">F83-H83-F84</f>
        <v>2.0675</v>
      </c>
      <c r="G85" s="10" t="s">
        <v>150</v>
      </c>
      <c r="H85" s="16" t="n">
        <f aca="false">IF(F83=0,0,(F83-H83-F84)/F83)</f>
        <v>0.214861002857885</v>
      </c>
    </row>
    <row r="87" customFormat="false" ht="15" hidden="false" customHeight="true" outlineLevel="0" collapsed="false">
      <c r="A87" s="34" t="s">
        <v>157</v>
      </c>
    </row>
    <row r="88" customFormat="false" ht="15" hidden="false" customHeight="true" outlineLevel="0" collapsed="false">
      <c r="A88" s="27" t="s">
        <v>121</v>
      </c>
      <c r="B88" s="28" t="s">
        <v>137</v>
      </c>
      <c r="C88" s="28" t="s">
        <v>138</v>
      </c>
      <c r="D88" s="28" t="s">
        <v>139</v>
      </c>
      <c r="E88" s="28" t="s">
        <v>124</v>
      </c>
      <c r="F88" s="28" t="s">
        <v>140</v>
      </c>
      <c r="G88" s="28" t="s">
        <v>141</v>
      </c>
      <c r="H88" s="28" t="s">
        <v>142</v>
      </c>
    </row>
    <row r="89" customFormat="false" ht="15" hidden="false" customHeight="true" outlineLevel="0" collapsed="false">
      <c r="A89" s="35" t="str">
        <f aca="false">Assumptions!$B$84</f>
        <v>Chalet</v>
      </c>
      <c r="B89" s="36" t="n">
        <f aca="false">D89/Assumptions!$D$84</f>
        <v>3156.52173913044</v>
      </c>
      <c r="C89" s="37" t="n">
        <f aca="false">Assumptions!$D$84</f>
        <v>115</v>
      </c>
      <c r="D89" s="36" t="n">
        <f aca="false">Assumptions!$C$47*1000000*Assumptions!$D$47*(1-Assumptions!$L$47)*Assumptions!$C$84</f>
        <v>363000</v>
      </c>
      <c r="E89" s="37" t="n">
        <f aca="false">Assumptions!$E$84</f>
        <v>82000</v>
      </c>
      <c r="F89" s="17" t="n">
        <f aca="false">D89*E89/1000000000</f>
        <v>29.766</v>
      </c>
      <c r="G89" s="37" t="n">
        <f aca="false">Assumptions!$F$84</f>
        <v>28000</v>
      </c>
      <c r="H89" s="17" t="n">
        <f aca="false">D89*G89/1000000000</f>
        <v>10.164</v>
      </c>
    </row>
    <row r="90" customFormat="false" ht="15" hidden="false" customHeight="true" outlineLevel="0" collapsed="false">
      <c r="A90" s="35" t="str">
        <f aca="false">Assumptions!$B$85</f>
        <v>Townhouse</v>
      </c>
      <c r="B90" s="36" t="n">
        <f aca="false">D90/Assumptions!$D$85</f>
        <v>891.891891891892</v>
      </c>
      <c r="C90" s="37" t="n">
        <f aca="false">Assumptions!$D$85</f>
        <v>185</v>
      </c>
      <c r="D90" s="36" t="n">
        <f aca="false">Assumptions!$C$47*1000000*Assumptions!$D$47*(1-Assumptions!$L$47)*Assumptions!$C$85</f>
        <v>165000</v>
      </c>
      <c r="E90" s="37" t="n">
        <f aca="false">Assumptions!$E$85</f>
        <v>98000</v>
      </c>
      <c r="F90" s="17" t="n">
        <f aca="false">D90*E90/1000000000</f>
        <v>16.17</v>
      </c>
      <c r="G90" s="37" t="n">
        <f aca="false">Assumptions!$F$85</f>
        <v>33000</v>
      </c>
      <c r="H90" s="17" t="n">
        <f aca="false">D90*G90/1000000000</f>
        <v>5.445</v>
      </c>
    </row>
    <row r="91" customFormat="false" ht="15" hidden="false" customHeight="true" outlineLevel="0" collapsed="false">
      <c r="A91" s="35" t="str">
        <f aca="false">Assumptions!$B$86</f>
        <v>Villa</v>
      </c>
      <c r="B91" s="36" t="n">
        <f aca="false">D91/Assumptions!$D$86</f>
        <v>412.5</v>
      </c>
      <c r="C91" s="37" t="n">
        <f aca="false">Assumptions!$D$86</f>
        <v>320</v>
      </c>
      <c r="D91" s="36" t="n">
        <f aca="false">Assumptions!$C$47*1000000*Assumptions!$D$47*(1-Assumptions!$L$47)*Assumptions!$C$86</f>
        <v>132000</v>
      </c>
      <c r="E91" s="37" t="n">
        <f aca="false">Assumptions!$E$86</f>
        <v>132000</v>
      </c>
      <c r="F91" s="17" t="n">
        <f aca="false">D91*E91/1000000000</f>
        <v>17.424</v>
      </c>
      <c r="G91" s="37" t="n">
        <f aca="false">Assumptions!$F$86</f>
        <v>42000</v>
      </c>
      <c r="H91" s="17" t="n">
        <f aca="false">D91*G91/1000000000</f>
        <v>5.544</v>
      </c>
    </row>
    <row r="92" customFormat="false" ht="15" hidden="false" customHeight="true" outlineLevel="0" collapsed="false">
      <c r="A92" s="38" t="s">
        <v>143</v>
      </c>
      <c r="B92" s="39" t="n">
        <f aca="false">SUM(B89:B91)</f>
        <v>4460.91363102233</v>
      </c>
      <c r="D92" s="39" t="n">
        <f aca="false">SUM(D89:D91)</f>
        <v>660000</v>
      </c>
      <c r="F92" s="40" t="n">
        <f aca="false">SUM(F89:F91)</f>
        <v>63.36</v>
      </c>
      <c r="H92" s="40" t="n">
        <f aca="false">SUM(H89:H91)</f>
        <v>21.153</v>
      </c>
    </row>
    <row r="93" customFormat="false" ht="15" hidden="false" customHeight="true" outlineLevel="0" collapsed="false">
      <c r="A93" s="10" t="s">
        <v>144</v>
      </c>
      <c r="D93" s="36" t="n">
        <f aca="false">Assumptions!$C$47*1000000*(1-Assumptions!$L$47)</f>
        <v>3000000</v>
      </c>
      <c r="E93" s="37" t="n">
        <f aca="false">Assumptions!$E$47</f>
        <v>5000</v>
      </c>
      <c r="F93" s="17" t="n">
        <f aca="false">D93*E93/1000000000</f>
        <v>15</v>
      </c>
    </row>
    <row r="94" customFormat="false" ht="15" hidden="false" customHeight="true" outlineLevel="0" collapsed="false">
      <c r="A94" s="10" t="s">
        <v>145</v>
      </c>
      <c r="B94" s="41" t="n">
        <f aca="false">Assumptions!$G$47</f>
        <v>1</v>
      </c>
    </row>
    <row r="95" customFormat="false" ht="15" hidden="false" customHeight="true" outlineLevel="0" collapsed="false">
      <c r="A95" s="38" t="s">
        <v>146</v>
      </c>
      <c r="F95" s="40" t="n">
        <f aca="false">F92*B94</f>
        <v>63.36</v>
      </c>
      <c r="G95" s="10" t="s">
        <v>147</v>
      </c>
      <c r="H95" s="17" t="n">
        <f aca="false">H92*B94</f>
        <v>21.153</v>
      </c>
    </row>
    <row r="96" customFormat="false" ht="15" hidden="false" customHeight="true" outlineLevel="0" collapsed="false">
      <c r="A96" s="10" t="s">
        <v>148</v>
      </c>
      <c r="F96" s="17" t="n">
        <f aca="false">F93*B94</f>
        <v>15</v>
      </c>
    </row>
    <row r="97" customFormat="false" ht="15" hidden="false" customHeight="true" outlineLevel="0" collapsed="false">
      <c r="A97" s="38" t="s">
        <v>149</v>
      </c>
      <c r="F97" s="40" t="n">
        <f aca="false">F95-H95-F96</f>
        <v>27.207</v>
      </c>
      <c r="G97" s="10" t="s">
        <v>150</v>
      </c>
      <c r="H97" s="16" t="n">
        <f aca="false">IF(F95=0,0,(F95-H95-F96)/F95)</f>
        <v>0.429403409090909</v>
      </c>
    </row>
    <row r="99" customFormat="false" ht="15" hidden="false" customHeight="true" outlineLevel="0" collapsed="false">
      <c r="A99" s="34" t="s">
        <v>158</v>
      </c>
    </row>
    <row r="100" customFormat="false" ht="15" hidden="false" customHeight="true" outlineLevel="0" collapsed="false">
      <c r="A100" s="27" t="s">
        <v>121</v>
      </c>
      <c r="B100" s="28" t="s">
        <v>137</v>
      </c>
      <c r="C100" s="28" t="s">
        <v>138</v>
      </c>
      <c r="D100" s="28" t="s">
        <v>139</v>
      </c>
      <c r="E100" s="28" t="s">
        <v>124</v>
      </c>
      <c r="F100" s="28" t="s">
        <v>140</v>
      </c>
      <c r="G100" s="28" t="s">
        <v>141</v>
      </c>
      <c r="H100" s="28" t="s">
        <v>142</v>
      </c>
    </row>
    <row r="101" customFormat="false" ht="15" hidden="false" customHeight="true" outlineLevel="0" collapsed="false">
      <c r="A101" s="35" t="str">
        <f aca="false">Assumptions!$B$87</f>
        <v>Apartment</v>
      </c>
      <c r="B101" s="36" t="n">
        <f aca="false">D101/Assumptions!$D$87</f>
        <v>4911.11111111111</v>
      </c>
      <c r="C101" s="37" t="n">
        <f aca="false">Assumptions!$D$87</f>
        <v>135</v>
      </c>
      <c r="D101" s="36" t="n">
        <f aca="false">Assumptions!$C$48*1000000*Assumptions!$D$48*(1-Assumptions!$L$48)*Assumptions!$C$87</f>
        <v>663000</v>
      </c>
      <c r="E101" s="37" t="n">
        <f aca="false">Assumptions!$E$87</f>
        <v>130000</v>
      </c>
      <c r="F101" s="17" t="n">
        <f aca="false">D101*E101/1000000000</f>
        <v>86.19</v>
      </c>
      <c r="G101" s="37" t="n">
        <f aca="false">Assumptions!$F$87</f>
        <v>40000</v>
      </c>
      <c r="H101" s="17" t="n">
        <f aca="false">D101*G101/1000000000</f>
        <v>26.52</v>
      </c>
    </row>
    <row r="102" customFormat="false" ht="15" hidden="false" customHeight="true" outlineLevel="0" collapsed="false">
      <c r="A102" s="35" t="str">
        <f aca="false">Assumptions!$B$88</f>
        <v>Townhouse/Twin</v>
      </c>
      <c r="B102" s="36" t="n">
        <f aca="false">D102/Assumptions!$D$88</f>
        <v>1850.23255813954</v>
      </c>
      <c r="C102" s="37" t="n">
        <f aca="false">Assumptions!$D$88</f>
        <v>215</v>
      </c>
      <c r="D102" s="36" t="n">
        <f aca="false">Assumptions!$C$48*1000000*Assumptions!$D$48*(1-Assumptions!$L$48)*Assumptions!$C$88</f>
        <v>397800</v>
      </c>
      <c r="E102" s="37" t="n">
        <f aca="false">Assumptions!$E$88</f>
        <v>160000</v>
      </c>
      <c r="F102" s="17" t="n">
        <f aca="false">D102*E102/1000000000</f>
        <v>63.648</v>
      </c>
      <c r="G102" s="37" t="n">
        <f aca="false">Assumptions!$F$88</f>
        <v>48000</v>
      </c>
      <c r="H102" s="17" t="n">
        <f aca="false">D102*G102/1000000000</f>
        <v>19.0944</v>
      </c>
    </row>
    <row r="103" customFormat="false" ht="15" hidden="false" customHeight="true" outlineLevel="0" collapsed="false">
      <c r="A103" s="35" t="str">
        <f aca="false">Assumptions!$B$89</f>
        <v>Villa</v>
      </c>
      <c r="B103" s="36" t="n">
        <f aca="false">D103/Assumptions!$D$89</f>
        <v>791.641791044776</v>
      </c>
      <c r="C103" s="37" t="n">
        <f aca="false">Assumptions!$D$89</f>
        <v>335</v>
      </c>
      <c r="D103" s="36" t="n">
        <f aca="false">Assumptions!$C$48*1000000*Assumptions!$D$48*(1-Assumptions!$L$48)*Assumptions!$C$89</f>
        <v>265200</v>
      </c>
      <c r="E103" s="37" t="n">
        <f aca="false">Assumptions!$E$89</f>
        <v>210000</v>
      </c>
      <c r="F103" s="17" t="n">
        <f aca="false">D103*E103/1000000000</f>
        <v>55.692</v>
      </c>
      <c r="G103" s="37" t="n">
        <f aca="false">Assumptions!$F$89</f>
        <v>62000</v>
      </c>
      <c r="H103" s="17" t="n">
        <f aca="false">D103*G103/1000000000</f>
        <v>16.4424</v>
      </c>
    </row>
    <row r="104" customFormat="false" ht="15" hidden="false" customHeight="true" outlineLevel="0" collapsed="false">
      <c r="A104" s="38" t="s">
        <v>143</v>
      </c>
      <c r="B104" s="39" t="n">
        <f aca="false">SUM(B101:B103)</f>
        <v>7552.98546029542</v>
      </c>
      <c r="D104" s="39" t="n">
        <f aca="false">SUM(D101:D103)</f>
        <v>1326000</v>
      </c>
      <c r="F104" s="40" t="n">
        <f aca="false">SUM(F101:F103)</f>
        <v>205.53</v>
      </c>
      <c r="H104" s="40" t="n">
        <f aca="false">SUM(H101:H103)</f>
        <v>62.0568</v>
      </c>
    </row>
    <row r="105" customFormat="false" ht="15" hidden="false" customHeight="true" outlineLevel="0" collapsed="false">
      <c r="A105" s="10" t="s">
        <v>144</v>
      </c>
      <c r="D105" s="36" t="n">
        <f aca="false">Assumptions!$C$48*1000000*(1-Assumptions!$L$48)</f>
        <v>7800000</v>
      </c>
      <c r="E105" s="37" t="n">
        <f aca="false">Assumptions!$E$48</f>
        <v>14000</v>
      </c>
      <c r="F105" s="17" t="n">
        <f aca="false">D105*E105/1000000000</f>
        <v>109.2</v>
      </c>
    </row>
    <row r="106" customFormat="false" ht="15" hidden="false" customHeight="true" outlineLevel="0" collapsed="false">
      <c r="A106" s="10" t="s">
        <v>145</v>
      </c>
      <c r="B106" s="41" t="n">
        <f aca="false">Assumptions!$G$48</f>
        <v>0.51</v>
      </c>
    </row>
    <row r="107" customFormat="false" ht="15" hidden="false" customHeight="true" outlineLevel="0" collapsed="false">
      <c r="A107" s="38" t="s">
        <v>146</v>
      </c>
      <c r="F107" s="40" t="n">
        <f aca="false">F104*B106</f>
        <v>104.8203</v>
      </c>
      <c r="G107" s="10" t="s">
        <v>147</v>
      </c>
      <c r="H107" s="17" t="n">
        <f aca="false">H104*B106</f>
        <v>31.648968</v>
      </c>
    </row>
    <row r="108" customFormat="false" ht="15" hidden="false" customHeight="true" outlineLevel="0" collapsed="false">
      <c r="A108" s="10" t="s">
        <v>148</v>
      </c>
      <c r="F108" s="17" t="n">
        <f aca="false">F105*B106</f>
        <v>55.692</v>
      </c>
    </row>
    <row r="109" customFormat="false" ht="15" hidden="false" customHeight="true" outlineLevel="0" collapsed="false">
      <c r="A109" s="38" t="s">
        <v>149</v>
      </c>
      <c r="F109" s="40" t="n">
        <f aca="false">F107-H107-F108</f>
        <v>17.479332</v>
      </c>
      <c r="G109" s="10" t="s">
        <v>150</v>
      </c>
      <c r="H109" s="16" t="n">
        <f aca="false">IF(F107=0,0,(F107-H107-F108)/F107)</f>
        <v>0.166755218216319</v>
      </c>
    </row>
    <row r="111" customFormat="false" ht="15" hidden="false" customHeight="true" outlineLevel="0" collapsed="false">
      <c r="A111" s="34" t="s">
        <v>159</v>
      </c>
    </row>
    <row r="112" customFormat="false" ht="15" hidden="false" customHeight="true" outlineLevel="0" collapsed="false">
      <c r="A112" s="27" t="s">
        <v>121</v>
      </c>
      <c r="B112" s="28" t="s">
        <v>137</v>
      </c>
      <c r="C112" s="28" t="s">
        <v>138</v>
      </c>
      <c r="D112" s="28" t="s">
        <v>139</v>
      </c>
      <c r="E112" s="28" t="s">
        <v>124</v>
      </c>
      <c r="F112" s="28" t="s">
        <v>140</v>
      </c>
      <c r="G112" s="28" t="s">
        <v>141</v>
      </c>
      <c r="H112" s="28" t="s">
        <v>142</v>
      </c>
    </row>
    <row r="113" customFormat="false" ht="15" hidden="false" customHeight="true" outlineLevel="0" collapsed="false">
      <c r="A113" s="35" t="str">
        <f aca="false">Assumptions!$B$90</f>
        <v>Apartment</v>
      </c>
      <c r="B113" s="36" t="n">
        <f aca="false">D113/Assumptions!$D$90</f>
        <v>3046.15384615385</v>
      </c>
      <c r="C113" s="37" t="n">
        <f aca="false">Assumptions!$D$90</f>
        <v>130</v>
      </c>
      <c r="D113" s="36" t="n">
        <f aca="false">Assumptions!$C$49*1000000*Assumptions!$D$49*(1-Assumptions!$L$49)*Assumptions!$C$90</f>
        <v>396000</v>
      </c>
      <c r="E113" s="37" t="n">
        <f aca="false">Assumptions!$E$90</f>
        <v>90000</v>
      </c>
      <c r="F113" s="17" t="n">
        <f aca="false">D113*E113/1000000000</f>
        <v>35.64</v>
      </c>
      <c r="G113" s="37" t="n">
        <f aca="false">Assumptions!$F$90</f>
        <v>32000</v>
      </c>
      <c r="H113" s="17" t="n">
        <f aca="false">D113*G113/1000000000</f>
        <v>12.672</v>
      </c>
    </row>
    <row r="114" customFormat="false" ht="15" hidden="false" customHeight="true" outlineLevel="0" collapsed="false">
      <c r="A114" s="35" t="str">
        <f aca="false">Assumptions!$B$91</f>
        <v>Townhouse/Twin</v>
      </c>
      <c r="B114" s="36" t="n">
        <f aca="false">D114/Assumptions!$D$91</f>
        <v>1131.42857142857</v>
      </c>
      <c r="C114" s="37" t="n">
        <f aca="false">Assumptions!$D$91</f>
        <v>210</v>
      </c>
      <c r="D114" s="36" t="n">
        <f aca="false">Assumptions!$C$49*1000000*Assumptions!$D$49*(1-Assumptions!$L$49)*Assumptions!$C$91</f>
        <v>237600</v>
      </c>
      <c r="E114" s="37" t="n">
        <f aca="false">Assumptions!$E$91</f>
        <v>112000</v>
      </c>
      <c r="F114" s="17" t="n">
        <f aca="false">D114*E114/1000000000</f>
        <v>26.6112</v>
      </c>
      <c r="G114" s="37" t="n">
        <f aca="false">Assumptions!$F$91</f>
        <v>38000</v>
      </c>
      <c r="H114" s="17" t="n">
        <f aca="false">D114*G114/1000000000</f>
        <v>9.0288</v>
      </c>
    </row>
    <row r="115" customFormat="false" ht="15" hidden="false" customHeight="true" outlineLevel="0" collapsed="false">
      <c r="A115" s="35" t="str">
        <f aca="false">Assumptions!$B$92</f>
        <v>Villa</v>
      </c>
      <c r="B115" s="36" t="n">
        <f aca="false">D115/Assumptions!$D$92</f>
        <v>480</v>
      </c>
      <c r="C115" s="37" t="n">
        <f aca="false">Assumptions!$D$92</f>
        <v>330</v>
      </c>
      <c r="D115" s="36" t="n">
        <f aca="false">Assumptions!$C$49*1000000*Assumptions!$D$49*(1-Assumptions!$L$49)*Assumptions!$C$92</f>
        <v>158400</v>
      </c>
      <c r="E115" s="37" t="n">
        <f aca="false">Assumptions!$E$92</f>
        <v>148000</v>
      </c>
      <c r="F115" s="17" t="n">
        <f aca="false">D115*E115/1000000000</f>
        <v>23.4432</v>
      </c>
      <c r="G115" s="37" t="n">
        <f aca="false">Assumptions!$F$92</f>
        <v>48000</v>
      </c>
      <c r="H115" s="17" t="n">
        <f aca="false">D115*G115/1000000000</f>
        <v>7.6032</v>
      </c>
    </row>
    <row r="116" customFormat="false" ht="15" hidden="false" customHeight="true" outlineLevel="0" collapsed="false">
      <c r="A116" s="38" t="s">
        <v>143</v>
      </c>
      <c r="B116" s="39" t="n">
        <f aca="false">SUM(B113:B115)</f>
        <v>4657.58241758242</v>
      </c>
      <c r="D116" s="39" t="n">
        <f aca="false">SUM(D113:D115)</f>
        <v>792000</v>
      </c>
      <c r="F116" s="40" t="n">
        <f aca="false">SUM(F113:F115)</f>
        <v>85.6944</v>
      </c>
      <c r="H116" s="40" t="n">
        <f aca="false">SUM(H113:H115)</f>
        <v>29.304</v>
      </c>
    </row>
    <row r="117" customFormat="false" ht="15" hidden="false" customHeight="true" outlineLevel="0" collapsed="false">
      <c r="A117" s="10" t="s">
        <v>144</v>
      </c>
      <c r="D117" s="36" t="n">
        <f aca="false">Assumptions!$C$49*1000000*(1-Assumptions!$L$49)</f>
        <v>4400000</v>
      </c>
      <c r="E117" s="37" t="n">
        <f aca="false">Assumptions!$E$49</f>
        <v>10000</v>
      </c>
      <c r="F117" s="17" t="n">
        <f aca="false">D117*E117/1000000000</f>
        <v>44</v>
      </c>
    </row>
    <row r="118" customFormat="false" ht="15" hidden="false" customHeight="true" outlineLevel="0" collapsed="false">
      <c r="A118" s="10" t="s">
        <v>145</v>
      </c>
      <c r="B118" s="41" t="n">
        <f aca="false">Assumptions!$G$49</f>
        <v>0.6</v>
      </c>
    </row>
    <row r="119" customFormat="false" ht="15" hidden="false" customHeight="true" outlineLevel="0" collapsed="false">
      <c r="A119" s="38" t="s">
        <v>146</v>
      </c>
      <c r="F119" s="40" t="n">
        <f aca="false">F116*B118</f>
        <v>51.41664</v>
      </c>
      <c r="G119" s="10" t="s">
        <v>147</v>
      </c>
      <c r="H119" s="17" t="n">
        <f aca="false">H116*B118</f>
        <v>17.5824</v>
      </c>
    </row>
    <row r="120" customFormat="false" ht="15" hidden="false" customHeight="true" outlineLevel="0" collapsed="false">
      <c r="A120" s="10" t="s">
        <v>148</v>
      </c>
      <c r="F120" s="17" t="n">
        <f aca="false">F117*B118</f>
        <v>26.4</v>
      </c>
    </row>
    <row r="121" customFormat="false" ht="15" hidden="false" customHeight="true" outlineLevel="0" collapsed="false">
      <c r="A121" s="38" t="s">
        <v>149</v>
      </c>
      <c r="F121" s="40" t="n">
        <f aca="false">F119-H119-F120</f>
        <v>7.43424</v>
      </c>
      <c r="G121" s="10" t="s">
        <v>150</v>
      </c>
      <c r="H121" s="16" t="n">
        <f aca="false">IF(F119=0,0,(F119-H119-F120)/F119)</f>
        <v>0.144588211131649</v>
      </c>
    </row>
    <row r="123" customFormat="false" ht="15" hidden="false" customHeight="true" outlineLevel="0" collapsed="false">
      <c r="A123" s="34" t="s">
        <v>160</v>
      </c>
    </row>
    <row r="124" customFormat="false" ht="15" hidden="false" customHeight="true" outlineLevel="0" collapsed="false">
      <c r="A124" s="27" t="s">
        <v>121</v>
      </c>
      <c r="B124" s="28" t="s">
        <v>137</v>
      </c>
      <c r="C124" s="28" t="s">
        <v>138</v>
      </c>
      <c r="D124" s="28" t="s">
        <v>139</v>
      </c>
      <c r="E124" s="28" t="s">
        <v>124</v>
      </c>
      <c r="F124" s="28" t="s">
        <v>140</v>
      </c>
      <c r="G124" s="28" t="s">
        <v>141</v>
      </c>
      <c r="H124" s="28" t="s">
        <v>142</v>
      </c>
    </row>
    <row r="125" customFormat="false" ht="15" hidden="false" customHeight="true" outlineLevel="0" collapsed="false">
      <c r="A125" s="35" t="str">
        <f aca="false">Assumptions!$B$93</f>
        <v>Apartment</v>
      </c>
      <c r="B125" s="36" t="n">
        <f aca="false">D125/Assumptions!$D$93</f>
        <v>13030.7692307692</v>
      </c>
      <c r="C125" s="37" t="n">
        <f aca="false">Assumptions!$D$93</f>
        <v>130</v>
      </c>
      <c r="D125" s="36" t="n">
        <f aca="false">Assumptions!$C$50*1000000*Assumptions!$D$50*(1-Assumptions!$L$50)*Assumptions!$C$93</f>
        <v>1694000</v>
      </c>
      <c r="E125" s="37" t="n">
        <f aca="false">Assumptions!$E$93</f>
        <v>70000</v>
      </c>
      <c r="F125" s="17" t="n">
        <f aca="false">D125*E125/1000000000</f>
        <v>118.58</v>
      </c>
      <c r="G125" s="37" t="n">
        <f aca="false">Assumptions!$F$93</f>
        <v>26000</v>
      </c>
      <c r="H125" s="17" t="n">
        <f aca="false">D125*G125/1000000000</f>
        <v>44.044</v>
      </c>
    </row>
    <row r="126" customFormat="false" ht="15" hidden="false" customHeight="true" outlineLevel="0" collapsed="false">
      <c r="A126" s="35" t="str">
        <f aca="false">Assumptions!$B$94</f>
        <v>Townhouse/Twin</v>
      </c>
      <c r="B126" s="36" t="n">
        <f aca="false">D126/Assumptions!$D$94</f>
        <v>4507.31707317073</v>
      </c>
      <c r="C126" s="37" t="n">
        <f aca="false">Assumptions!$D$94</f>
        <v>205</v>
      </c>
      <c r="D126" s="36" t="n">
        <f aca="false">Assumptions!$C$50*1000000*Assumptions!$D$50*(1-Assumptions!$L$50)*Assumptions!$C$94</f>
        <v>924000</v>
      </c>
      <c r="E126" s="37" t="n">
        <f aca="false">Assumptions!$E$94</f>
        <v>90000</v>
      </c>
      <c r="F126" s="17" t="n">
        <f aca="false">D126*E126/1000000000</f>
        <v>83.16</v>
      </c>
      <c r="G126" s="37" t="n">
        <f aca="false">Assumptions!$F$94</f>
        <v>32000</v>
      </c>
      <c r="H126" s="17" t="n">
        <f aca="false">D126*G126/1000000000</f>
        <v>29.568</v>
      </c>
    </row>
    <row r="127" customFormat="false" ht="15" hidden="false" customHeight="true" outlineLevel="0" collapsed="false">
      <c r="A127" s="35" t="str">
        <f aca="false">Assumptions!$B$95</f>
        <v>Villa</v>
      </c>
      <c r="B127" s="36" t="n">
        <f aca="false">D127/Assumptions!$D$95</f>
        <v>1443.75</v>
      </c>
      <c r="C127" s="37" t="n">
        <f aca="false">Assumptions!$D$95</f>
        <v>320</v>
      </c>
      <c r="D127" s="36" t="n">
        <f aca="false">Assumptions!$C$50*1000000*Assumptions!$D$50*(1-Assumptions!$L$50)*Assumptions!$C$95</f>
        <v>462000</v>
      </c>
      <c r="E127" s="37" t="n">
        <f aca="false">Assumptions!$E$95</f>
        <v>120000</v>
      </c>
      <c r="F127" s="17" t="n">
        <f aca="false">D127*E127/1000000000</f>
        <v>55.44</v>
      </c>
      <c r="G127" s="37" t="n">
        <f aca="false">Assumptions!$F$95</f>
        <v>42000</v>
      </c>
      <c r="H127" s="17" t="n">
        <f aca="false">D127*G127/1000000000</f>
        <v>19.404</v>
      </c>
    </row>
    <row r="128" customFormat="false" ht="15" hidden="false" customHeight="true" outlineLevel="0" collapsed="false">
      <c r="A128" s="38" t="s">
        <v>143</v>
      </c>
      <c r="B128" s="39" t="n">
        <f aca="false">SUM(B125:B127)</f>
        <v>18981.83630394</v>
      </c>
      <c r="D128" s="39" t="n">
        <f aca="false">SUM(D125:D127)</f>
        <v>3080000</v>
      </c>
      <c r="F128" s="40" t="n">
        <f aca="false">SUM(F125:F127)</f>
        <v>257.18</v>
      </c>
      <c r="H128" s="40" t="n">
        <f aca="false">SUM(H125:H127)</f>
        <v>93.016</v>
      </c>
    </row>
    <row r="129" customFormat="false" ht="15" hidden="false" customHeight="true" outlineLevel="0" collapsed="false">
      <c r="A129" s="10" t="s">
        <v>144</v>
      </c>
      <c r="D129" s="36" t="n">
        <f aca="false">Assumptions!$C$50*1000000*(1-Assumptions!$L$50)</f>
        <v>22000000</v>
      </c>
      <c r="E129" s="37" t="n">
        <f aca="false">Assumptions!$E$50</f>
        <v>8000</v>
      </c>
      <c r="F129" s="17" t="n">
        <f aca="false">D129*E129/1000000000</f>
        <v>176</v>
      </c>
    </row>
    <row r="130" customFormat="false" ht="15" hidden="false" customHeight="true" outlineLevel="0" collapsed="false">
      <c r="A130" s="10" t="s">
        <v>145</v>
      </c>
      <c r="B130" s="41" t="n">
        <f aca="false">Assumptions!$G$50</f>
        <v>0.5</v>
      </c>
    </row>
    <row r="131" customFormat="false" ht="15" hidden="false" customHeight="true" outlineLevel="0" collapsed="false">
      <c r="A131" s="38" t="s">
        <v>146</v>
      </c>
      <c r="F131" s="40" t="n">
        <f aca="false">F128*B130</f>
        <v>128.59</v>
      </c>
      <c r="G131" s="10" t="s">
        <v>147</v>
      </c>
      <c r="H131" s="17" t="n">
        <f aca="false">H128*B130</f>
        <v>46.508</v>
      </c>
    </row>
    <row r="132" customFormat="false" ht="15" hidden="false" customHeight="true" outlineLevel="0" collapsed="false">
      <c r="A132" s="10" t="s">
        <v>148</v>
      </c>
      <c r="F132" s="17" t="n">
        <f aca="false">F129*B130</f>
        <v>88</v>
      </c>
    </row>
    <row r="133" customFormat="false" ht="15" hidden="false" customHeight="true" outlineLevel="0" collapsed="false">
      <c r="A133" s="38" t="s">
        <v>149</v>
      </c>
      <c r="F133" s="40" t="n">
        <f aca="false">F131-H131-F132</f>
        <v>-5.91799999999998</v>
      </c>
      <c r="G133" s="10" t="s">
        <v>150</v>
      </c>
      <c r="H133" s="16" t="n">
        <f aca="false">IF(F131=0,0,(F131-H131-F132)/F131)</f>
        <v>-0.0460222412318219</v>
      </c>
    </row>
    <row r="135" customFormat="false" ht="15" hidden="false" customHeight="true" outlineLevel="0" collapsed="false">
      <c r="A135" s="34" t="s">
        <v>161</v>
      </c>
    </row>
    <row r="136" customFormat="false" ht="15" hidden="false" customHeight="true" outlineLevel="0" collapsed="false">
      <c r="A136" s="27" t="s">
        <v>121</v>
      </c>
      <c r="B136" s="28" t="s">
        <v>137</v>
      </c>
      <c r="C136" s="28" t="s">
        <v>138</v>
      </c>
      <c r="D136" s="28" t="s">
        <v>139</v>
      </c>
      <c r="E136" s="28" t="s">
        <v>124</v>
      </c>
      <c r="F136" s="28" t="s">
        <v>140</v>
      </c>
      <c r="G136" s="28" t="s">
        <v>141</v>
      </c>
      <c r="H136" s="28" t="s">
        <v>142</v>
      </c>
    </row>
    <row r="137" customFormat="false" ht="15" hidden="false" customHeight="true" outlineLevel="0" collapsed="false">
      <c r="A137" s="35" t="str">
        <f aca="false">Assumptions!$B$96</f>
        <v>Apartment</v>
      </c>
      <c r="B137" s="36" t="n">
        <f aca="false">D137/Assumptions!$D$96</f>
        <v>5866.66666666667</v>
      </c>
      <c r="C137" s="37" t="n">
        <f aca="false">Assumptions!$D$96</f>
        <v>135</v>
      </c>
      <c r="D137" s="36" t="n">
        <f aca="false">Assumptions!$C$51*1000000*Assumptions!$D$51*(1-Assumptions!$L$51)*Assumptions!$C$96</f>
        <v>792000</v>
      </c>
      <c r="E137" s="37" t="n">
        <f aca="false">Assumptions!$E$96</f>
        <v>58000</v>
      </c>
      <c r="F137" s="17" t="n">
        <f aca="false">D137*E137/1000000000</f>
        <v>45.936</v>
      </c>
      <c r="G137" s="37" t="n">
        <f aca="false">Assumptions!$F$96</f>
        <v>21000</v>
      </c>
      <c r="H137" s="17" t="n">
        <f aca="false">D137*G137/1000000000</f>
        <v>16.632</v>
      </c>
    </row>
    <row r="138" customFormat="false" ht="15" hidden="false" customHeight="true" outlineLevel="0" collapsed="false">
      <c r="A138" s="35" t="str">
        <f aca="false">Assumptions!$B$97</f>
        <v>Townhouse/Twin</v>
      </c>
      <c r="B138" s="36" t="n">
        <f aca="false">D138/Assumptions!$D$97</f>
        <v>2057.14285714286</v>
      </c>
      <c r="C138" s="37" t="n">
        <f aca="false">Assumptions!$D$97</f>
        <v>210</v>
      </c>
      <c r="D138" s="36" t="n">
        <f aca="false">Assumptions!$C$51*1000000*Assumptions!$D$51*(1-Assumptions!$L$51)*Assumptions!$C$97</f>
        <v>432000</v>
      </c>
      <c r="E138" s="37" t="n">
        <f aca="false">Assumptions!$E$97</f>
        <v>68000</v>
      </c>
      <c r="F138" s="17" t="n">
        <f aca="false">D138*E138/1000000000</f>
        <v>29.376</v>
      </c>
      <c r="G138" s="37" t="n">
        <f aca="false">Assumptions!$F$97</f>
        <v>25000</v>
      </c>
      <c r="H138" s="17" t="n">
        <f aca="false">D138*G138/1000000000</f>
        <v>10.8</v>
      </c>
    </row>
    <row r="139" customFormat="false" ht="15" hidden="false" customHeight="true" outlineLevel="0" collapsed="false">
      <c r="A139" s="35" t="str">
        <f aca="false">Assumptions!$B$98</f>
        <v>Villa</v>
      </c>
      <c r="B139" s="36" t="n">
        <f aca="false">D139/Assumptions!$D$98</f>
        <v>654.545454545455</v>
      </c>
      <c r="C139" s="37" t="n">
        <f aca="false">Assumptions!$D$98</f>
        <v>330</v>
      </c>
      <c r="D139" s="36" t="n">
        <f aca="false">Assumptions!$C$51*1000000*Assumptions!$D$51*(1-Assumptions!$L$51)*Assumptions!$C$98</f>
        <v>216000</v>
      </c>
      <c r="E139" s="37" t="n">
        <f aca="false">Assumptions!$E$98</f>
        <v>86000</v>
      </c>
      <c r="F139" s="17" t="n">
        <f aca="false">D139*E139/1000000000</f>
        <v>18.576</v>
      </c>
      <c r="G139" s="37" t="n">
        <f aca="false">Assumptions!$F$98</f>
        <v>32000</v>
      </c>
      <c r="H139" s="17" t="n">
        <f aca="false">D139*G139/1000000000</f>
        <v>6.912</v>
      </c>
    </row>
    <row r="140" customFormat="false" ht="15" hidden="false" customHeight="true" outlineLevel="0" collapsed="false">
      <c r="A140" s="38" t="s">
        <v>143</v>
      </c>
      <c r="B140" s="39" t="n">
        <f aca="false">SUM(B137:B139)</f>
        <v>8578.35497835498</v>
      </c>
      <c r="D140" s="39" t="n">
        <f aca="false">SUM(D137:D139)</f>
        <v>1440000</v>
      </c>
      <c r="F140" s="40" t="n">
        <f aca="false">SUM(F137:F139)</f>
        <v>93.888</v>
      </c>
      <c r="H140" s="40" t="n">
        <f aca="false">SUM(H137:H139)</f>
        <v>34.344</v>
      </c>
    </row>
    <row r="141" customFormat="false" ht="15" hidden="false" customHeight="true" outlineLevel="0" collapsed="false">
      <c r="A141" s="10" t="s">
        <v>144</v>
      </c>
      <c r="D141" s="36" t="n">
        <f aca="false">Assumptions!$C$51*1000000*(1-Assumptions!$L$51)</f>
        <v>12000000</v>
      </c>
      <c r="E141" s="37" t="n">
        <f aca="false">Assumptions!$E$51</f>
        <v>5000</v>
      </c>
      <c r="F141" s="17" t="n">
        <f aca="false">D141*E141/1000000000</f>
        <v>60</v>
      </c>
    </row>
    <row r="142" customFormat="false" ht="15" hidden="false" customHeight="true" outlineLevel="0" collapsed="false">
      <c r="A142" s="10" t="s">
        <v>145</v>
      </c>
      <c r="B142" s="41" t="n">
        <f aca="false">Assumptions!$G$51</f>
        <v>1</v>
      </c>
    </row>
    <row r="143" customFormat="false" ht="15" hidden="false" customHeight="true" outlineLevel="0" collapsed="false">
      <c r="A143" s="38" t="s">
        <v>146</v>
      </c>
      <c r="F143" s="40" t="n">
        <f aca="false">F140*B142</f>
        <v>93.888</v>
      </c>
      <c r="G143" s="10" t="s">
        <v>147</v>
      </c>
      <c r="H143" s="17" t="n">
        <f aca="false">H140*B142</f>
        <v>34.344</v>
      </c>
    </row>
    <row r="144" customFormat="false" ht="15" hidden="false" customHeight="true" outlineLevel="0" collapsed="false">
      <c r="A144" s="10" t="s">
        <v>148</v>
      </c>
      <c r="F144" s="17" t="n">
        <f aca="false">F141*B142</f>
        <v>60</v>
      </c>
    </row>
    <row r="145" customFormat="false" ht="15" hidden="false" customHeight="true" outlineLevel="0" collapsed="false">
      <c r="A145" s="38" t="s">
        <v>149</v>
      </c>
      <c r="F145" s="40" t="n">
        <f aca="false">F143-H143-F144</f>
        <v>-0.455999999999996</v>
      </c>
      <c r="G145" s="10" t="s">
        <v>150</v>
      </c>
      <c r="H145" s="16" t="n">
        <f aca="false">IF(F143=0,0,(F143-H143-F144)/F143)</f>
        <v>-0.00485685071574638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Y12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4"/>
    <col collapsed="false" customWidth="true" hidden="false" outlineLevel="0" max="25" min="3" style="1" width="9"/>
  </cols>
  <sheetData>
    <row r="1" customFormat="false" ht="15.75" hidden="false" customHeight="true" outlineLevel="0" collapsed="false">
      <c r="A1" s="6" t="s">
        <v>162</v>
      </c>
      <c r="B1" s="7"/>
      <c r="C1" s="7"/>
      <c r="D1" s="7"/>
      <c r="E1" s="7"/>
      <c r="F1" s="7"/>
      <c r="G1" s="7"/>
      <c r="H1" s="7"/>
      <c r="I1" s="7"/>
      <c r="J1" s="7"/>
      <c r="K1" s="7"/>
      <c r="L1" s="7"/>
      <c r="M1" s="7"/>
      <c r="N1" s="7"/>
      <c r="O1" s="7"/>
      <c r="P1" s="7"/>
      <c r="Q1" s="7"/>
      <c r="R1" s="7"/>
      <c r="S1" s="7"/>
      <c r="T1" s="7"/>
      <c r="U1" s="7"/>
      <c r="V1" s="7"/>
      <c r="W1" s="7"/>
      <c r="X1" s="7"/>
      <c r="Y1" s="7"/>
    </row>
    <row r="2" customFormat="false" ht="15" hidden="false" customHeight="true" outlineLevel="0" collapsed="false">
      <c r="A2" s="8" t="s">
        <v>163</v>
      </c>
      <c r="B2" s="7"/>
      <c r="C2" s="7"/>
      <c r="D2" s="7"/>
      <c r="E2" s="7"/>
      <c r="F2" s="7"/>
      <c r="G2" s="7"/>
      <c r="H2" s="7"/>
      <c r="I2" s="7"/>
      <c r="J2" s="7"/>
      <c r="K2" s="7"/>
      <c r="L2" s="7"/>
      <c r="M2" s="7"/>
      <c r="N2" s="7"/>
      <c r="O2" s="7"/>
      <c r="P2" s="7"/>
      <c r="Q2" s="7"/>
      <c r="R2" s="7"/>
      <c r="S2" s="7"/>
      <c r="T2" s="7"/>
      <c r="U2" s="7"/>
      <c r="V2" s="7"/>
      <c r="W2" s="7"/>
      <c r="X2" s="7"/>
      <c r="Y2" s="7"/>
    </row>
    <row r="3" customFormat="false" ht="15" hidden="false" customHeight="true" outlineLevel="0" collapsed="false">
      <c r="A3" s="9" t="s">
        <v>164</v>
      </c>
    </row>
    <row r="4" customFormat="false" ht="15" hidden="false" customHeight="true" outlineLevel="0" collapsed="false">
      <c r="A4" s="27" t="s">
        <v>165</v>
      </c>
      <c r="C4" s="42" t="s">
        <v>166</v>
      </c>
      <c r="D4" s="42" t="s">
        <v>167</v>
      </c>
      <c r="E4" s="42" t="s">
        <v>168</v>
      </c>
      <c r="F4" s="42" t="s">
        <v>169</v>
      </c>
      <c r="G4" s="42" t="s">
        <v>170</v>
      </c>
      <c r="H4" s="42" t="s">
        <v>171</v>
      </c>
      <c r="I4" s="42" t="s">
        <v>172</v>
      </c>
      <c r="J4" s="42" t="s">
        <v>173</v>
      </c>
      <c r="K4" s="42" t="s">
        <v>174</v>
      </c>
      <c r="L4" s="42" t="s">
        <v>175</v>
      </c>
      <c r="M4" s="42" t="s">
        <v>176</v>
      </c>
      <c r="N4" s="42" t="s">
        <v>177</v>
      </c>
      <c r="O4" s="42" t="s">
        <v>178</v>
      </c>
      <c r="P4" s="42" t="s">
        <v>179</v>
      </c>
      <c r="Q4" s="42" t="s">
        <v>180</v>
      </c>
      <c r="R4" s="42" t="s">
        <v>181</v>
      </c>
      <c r="S4" s="42" t="s">
        <v>182</v>
      </c>
      <c r="T4" s="42" t="s">
        <v>183</v>
      </c>
      <c r="U4" s="42" t="s">
        <v>184</v>
      </c>
      <c r="V4" s="42" t="s">
        <v>185</v>
      </c>
      <c r="W4" s="42" t="s">
        <v>186</v>
      </c>
      <c r="X4" s="42" t="s">
        <v>187</v>
      </c>
      <c r="Y4" s="42" t="s">
        <v>188</v>
      </c>
    </row>
    <row r="5" customFormat="false" ht="15" hidden="false" customHeight="true" outlineLevel="0" collapsed="false">
      <c r="A5" s="38" t="s">
        <v>189</v>
      </c>
      <c r="C5" s="17" t="n">
        <f aca="false">C14+C23+C32+C41+C50+C59+C68+C77+C86+C95+C104+C113+C122</f>
        <v>86.5202</v>
      </c>
      <c r="D5" s="17" t="n">
        <f aca="false">D14+D23+D32+D41+D50+D59+D68+D77+D86+D95+D104+D113+D122</f>
        <v>98.633</v>
      </c>
      <c r="E5" s="17" t="n">
        <f aca="false">E14+E23+E32+E41+E50+E59+E68+E77+E86+E95+E104+E113+E122</f>
        <v>125.3008</v>
      </c>
      <c r="F5" s="17" t="n">
        <f aca="false">F14+F23+F32+F41+F50+F59+F68+F77+F86+F95+F104+F113+F122</f>
        <v>142.8427</v>
      </c>
      <c r="G5" s="17" t="n">
        <f aca="false">G14+G23+G32+G41+G50+G59+G68+G77+G86+G95+G104+G113+G122</f>
        <v>174.5769</v>
      </c>
      <c r="H5" s="17" t="n">
        <f aca="false">H14+H23+H32+H41+H50+H59+H68+H77+H86+H95+H104+H113+H122</f>
        <v>184.5525</v>
      </c>
      <c r="I5" s="17" t="n">
        <f aca="false">I14+I23+I32+I41+I50+I59+I68+I77+I86+I95+I104+I113+I122</f>
        <v>197.6524</v>
      </c>
      <c r="J5" s="17" t="n">
        <f aca="false">J14+J23+J32+J41+J50+J59+J68+J77+J86+J95+J104+J113+J122</f>
        <v>202.6746</v>
      </c>
      <c r="K5" s="17" t="n">
        <f aca="false">K14+K23+K32+K41+K50+K59+K68+K77+K86+K95+K104+K113+K122</f>
        <v>212.7153</v>
      </c>
      <c r="L5" s="17" t="n">
        <f aca="false">L14+L23+L32+L41+L50+L59+L68+L77+L86+L95+L104+L113+L122</f>
        <v>152.8299</v>
      </c>
      <c r="M5" s="17" t="n">
        <f aca="false">M14+M23+M32+M41+M50+M59+M68+M77+M86+M95+M104+M113+M122</f>
        <v>137.083</v>
      </c>
      <c r="N5" s="17" t="n">
        <f aca="false">N14+N23+N32+N41+N50+N59+N68+N77+N86+N95+N104+N113+N122</f>
        <v>71.1834</v>
      </c>
      <c r="O5" s="17" t="n">
        <f aca="false">O14+O23+O32+O41+O50+O59+O68+O77+O86+O95+O104+O113+O122</f>
        <v>0</v>
      </c>
      <c r="P5" s="17" t="n">
        <f aca="false">P14+P23+P32+P41+P50+P59+P68+P77+P86+P95+P104+P113+P122</f>
        <v>0</v>
      </c>
      <c r="Q5" s="17" t="n">
        <f aca="false">Q14+Q23+Q32+Q41+Q50+Q59+Q68+Q77+Q86+Q95+Q104+Q113+Q122</f>
        <v>0</v>
      </c>
      <c r="R5" s="17" t="n">
        <f aca="false">R14+R23+R32+R41+R50+R59+R68+R77+R86+R95+R104+R113+R122</f>
        <v>0</v>
      </c>
      <c r="S5" s="17" t="n">
        <f aca="false">S14+S23+S32+S41+S50+S59+S68+S77+S86+S95+S104+S113+S122</f>
        <v>0</v>
      </c>
      <c r="T5" s="17" t="n">
        <f aca="false">T14+T23+T32+T41+T50+T59+T68+T77+T86+T95+T104+T113+T122</f>
        <v>0</v>
      </c>
      <c r="U5" s="17" t="n">
        <f aca="false">U14+U23+U32+U41+U50+U59+U68+U77+U86+U95+U104+U113+U122</f>
        <v>0</v>
      </c>
      <c r="V5" s="17" t="n">
        <f aca="false">V14+V23+V32+V41+V50+V59+V68+V77+V86+V95+V104+V113+V122</f>
        <v>0</v>
      </c>
      <c r="W5" s="17" t="n">
        <f aca="false">W14+W23+W32+W41+W50+W59+W68+W77+W86+W95+W104+W113+W122</f>
        <v>0</v>
      </c>
      <c r="X5" s="17" t="n">
        <f aca="false">X14+X23+X32+X41+X50+X59+X68+X77+X86+X95+X104+X113+X122</f>
        <v>0</v>
      </c>
      <c r="Y5" s="17" t="n">
        <f aca="false">Y14+Y23+Y32+Y41+Y50+Y59+Y68+Y77+Y86+Y95+Y104+Y113+Y122</f>
        <v>0</v>
      </c>
    </row>
    <row r="6" customFormat="false" ht="15" hidden="false" customHeight="true" outlineLevel="0" collapsed="false">
      <c r="A6" s="38" t="s">
        <v>190</v>
      </c>
      <c r="C6" s="17" t="n">
        <f aca="false">C15+C24+C33+C42+C51+C60+C69+C78+C87+C96+C105+C114+C123</f>
        <v>54.442</v>
      </c>
      <c r="D6" s="17" t="n">
        <f aca="false">D15+D24+D33+D42+D51+D60+D69+D78+D87+D96+D105+D114+D123</f>
        <v>65.3867</v>
      </c>
      <c r="E6" s="17" t="n">
        <f aca="false">E15+E24+E33+E42+E51+E60+E69+E78+E87+E96+E105+E114+E123</f>
        <v>79.1498</v>
      </c>
      <c r="F6" s="17" t="n">
        <f aca="false">F15+F24+F33+F42+F51+F60+F69+F78+F87+F96+F105+F114+F123</f>
        <v>95.0003</v>
      </c>
      <c r="G6" s="17" t="n">
        <f aca="false">G15+G24+G33+G42+G51+G60+G69+G78+G87+G96+G105+G114+G123</f>
        <v>114.2435</v>
      </c>
      <c r="H6" s="17" t="n">
        <f aca="false">H15+H24+H33+H42+H51+H60+H69+H78+H87+H96+H105+H114+H123</f>
        <v>134.8809</v>
      </c>
      <c r="I6" s="17" t="n">
        <f aca="false">I15+I24+I33+I42+I51+I60+I69+I78+I87+I96+I105+I114+I123</f>
        <v>156.9532</v>
      </c>
      <c r="J6" s="17" t="n">
        <f aca="false">J15+J24+J33+J42+J51+J60+J69+J78+J87+J96+J105+J114+J123</f>
        <v>133.9012</v>
      </c>
      <c r="K6" s="17" t="n">
        <f aca="false">K15+K24+K33+K42+K51+K60+K69+K78+K87+K96+K105+K114+K123</f>
        <v>157.7062</v>
      </c>
      <c r="L6" s="17" t="n">
        <f aca="false">L15+L24+L33+L42+L51+L60+L69+L78+L87+L96+L105+L114+L123</f>
        <v>165.9146</v>
      </c>
      <c r="M6" s="17" t="n">
        <f aca="false">M15+M24+M33+M42+M51+M60+M69+M78+M87+M96+M105+M114+M123</f>
        <v>170.437</v>
      </c>
      <c r="N6" s="17" t="n">
        <f aca="false">N15+N24+N33+N42+N51+N60+N69+N78+N87+N96+N105+N114+N123</f>
        <v>165.1725</v>
      </c>
      <c r="O6" s="17" t="n">
        <f aca="false">O15+O24+O33+O42+O51+O60+O69+O78+O87+O96+O105+O114+O123</f>
        <v>149.9926</v>
      </c>
      <c r="P6" s="17" t="n">
        <f aca="false">P15+P24+P33+P42+P51+P60+P69+P78+P87+P96+P105+P114+P123</f>
        <v>130.3527</v>
      </c>
      <c r="Q6" s="17" t="n">
        <f aca="false">Q15+Q24+Q33+Q42+Q51+Q60+Q69+Q78+Q87+Q96+Q105+Q114+Q123</f>
        <v>109.5906</v>
      </c>
      <c r="R6" s="17" t="n">
        <f aca="false">R15+R24+R33+R42+R51+R60+R69+R78+R87+R96+R105+R114+R123</f>
        <v>87.3547</v>
      </c>
      <c r="S6" s="17" t="n">
        <f aca="false">S15+S24+S33+S42+S51+S60+S69+S78+S87+S96+S105+S114+S123</f>
        <v>64.5539</v>
      </c>
      <c r="T6" s="17" t="n">
        <f aca="false">T15+T24+T33+T42+T51+T60+T69+T78+T87+T96+T105+T114+T123</f>
        <v>40.6233</v>
      </c>
      <c r="U6" s="17" t="n">
        <f aca="false">U15+U24+U33+U42+U51+U60+U69+U78+U87+U96+U105+U114+U123</f>
        <v>23.4299</v>
      </c>
      <c r="V6" s="17" t="n">
        <f aca="false">V15+V24+V33+V42+V51+V60+V69+V78+V87+V96+V105+V114+V123</f>
        <v>8.0081</v>
      </c>
      <c r="W6" s="17" t="n">
        <f aca="false">W15+W24+W33+W42+W51+W60+W69+W78+W87+W96+W105+W114+W123</f>
        <v>0</v>
      </c>
      <c r="X6" s="17" t="n">
        <f aca="false">X15+X24+X33+X42+X51+X60+X69+X78+X87+X96+X105+X114+X123</f>
        <v>0</v>
      </c>
      <c r="Y6" s="17" t="n">
        <f aca="false">Y15+Y24+Y33+Y42+Y51+Y60+Y69+Y78+Y87+Y96+Y105+Y114+Y123</f>
        <v>0</v>
      </c>
    </row>
    <row r="7" customFormat="false" ht="15" hidden="false" customHeight="true" outlineLevel="0" collapsed="false">
      <c r="A7" s="38" t="s">
        <v>191</v>
      </c>
      <c r="C7" s="17" t="n">
        <f aca="false">C16+C25+C34+C43+C52+C61+C70+C79+C88+C97+C106+C115+C124</f>
        <v>77.2039</v>
      </c>
      <c r="D7" s="17" t="n">
        <f aca="false">D16+D25+D34+D43+D52+D61+D70+D79+D88+D97+D106+D115+D124</f>
        <v>90.644</v>
      </c>
      <c r="E7" s="17" t="n">
        <f aca="false">E16+E25+E34+E43+E52+E61+E70+E79+E88+E97+E106+E115+E124</f>
        <v>107.252</v>
      </c>
      <c r="F7" s="17" t="n">
        <f aca="false">F16+F25+F34+F43+F52+F61+F70+F79+F88+F97+F106+F115+F124</f>
        <v>126.1847</v>
      </c>
      <c r="G7" s="17" t="n">
        <f aca="false">G16+G25+G34+G43+G52+G61+G70+G79+G88+G97+G106+G115+G124</f>
        <v>148.9635</v>
      </c>
      <c r="H7" s="17" t="n">
        <f aca="false">H16+H25+H34+H43+H52+H61+H70+H79+H88+H97+H106+H115+H124</f>
        <v>170.7352</v>
      </c>
      <c r="I7" s="17" t="n">
        <f aca="false">I16+I25+I34+I43+I52+I61+I70+I79+I88+I97+I106+I115+I124</f>
        <v>190.9563</v>
      </c>
      <c r="J7" s="17" t="n">
        <f aca="false">J16+J25+J34+J43+J52+J61+J70+J79+J88+J97+J106+J115+J124</f>
        <v>143.9014</v>
      </c>
      <c r="K7" s="17" t="n">
        <f aca="false">K16+K25+K34+K43+K52+K61+K70+K79+K88+K97+K106+K115+K124</f>
        <v>158.7654</v>
      </c>
      <c r="L7" s="17" t="n">
        <f aca="false">L16+L25+L34+L43+L52+L61+L70+L79+L88+L97+L106+L115+L124</f>
        <v>162.0781</v>
      </c>
      <c r="M7" s="17" t="n">
        <f aca="false">M16+M25+M34+M43+M52+M61+M70+M79+M88+M97+M106+M115+M124</f>
        <v>163.8794</v>
      </c>
      <c r="N7" s="17" t="n">
        <f aca="false">N16+N25+N34+N43+N52+N61+N70+N79+N88+N97+N106+N115+N124</f>
        <v>154.8018</v>
      </c>
      <c r="O7" s="17" t="n">
        <f aca="false">O16+O25+O34+O43+O52+O61+O70+O79+O88+O97+O106+O115+O124</f>
        <v>135.7405</v>
      </c>
      <c r="P7" s="17" t="n">
        <f aca="false">P16+P25+P34+P43+P52+P61+P70+P79+P88+P97+P106+P115+P124</f>
        <v>117.7857</v>
      </c>
      <c r="Q7" s="17" t="n">
        <f aca="false">Q16+Q25+Q34+Q43+Q52+Q61+Q70+Q79+Q88+Q97+Q106+Q115+Q124</f>
        <v>97.3171</v>
      </c>
      <c r="R7" s="17" t="n">
        <f aca="false">R16+R25+R34+R43+R52+R61+R70+R79+R88+R97+R106+R115+R124</f>
        <v>76.6021</v>
      </c>
      <c r="S7" s="17" t="n">
        <f aca="false">S16+S25+S34+S43+S52+S61+S70+S79+S88+S97+S106+S115+S124</f>
        <v>52.987</v>
      </c>
      <c r="T7" s="17" t="n">
        <f aca="false">T16+T25+T34+T43+T52+T61+T70+T79+T88+T97+T106+T115+T124</f>
        <v>37.2739</v>
      </c>
      <c r="U7" s="17" t="n">
        <f aca="false">U16+U25+U34+U43+U52+U61+U70+U79+U88+U97+U106+U115+U124</f>
        <v>19.361</v>
      </c>
      <c r="V7" s="17" t="n">
        <f aca="false">V16+V25+V34+V43+V52+V61+V70+V79+V88+V97+V106+V115+V124</f>
        <v>7.8498</v>
      </c>
      <c r="W7" s="17" t="n">
        <f aca="false">W16+W25+W34+W43+W52+W61+W70+W79+W88+W97+W106+W115+W124</f>
        <v>4.1817</v>
      </c>
      <c r="X7" s="17" t="n">
        <f aca="false">X16+X25+X34+X43+X52+X61+X70+X79+X88+X97+X106+X115+X124</f>
        <v>0</v>
      </c>
      <c r="Y7" s="17" t="n">
        <f aca="false">Y16+Y25+Y34+Y43+Y52+Y61+Y70+Y79+Y88+Y97+Y106+Y115+Y124</f>
        <v>0</v>
      </c>
    </row>
    <row r="8" customFormat="false" ht="15" hidden="false" customHeight="true" outlineLevel="0" collapsed="false">
      <c r="A8" s="38" t="s">
        <v>192</v>
      </c>
      <c r="C8" s="17" t="n">
        <f aca="false">C17+C26+C35+C44+C53+C62+C71+C80+C89+C98+C107+C116+C125</f>
        <v>47.9366</v>
      </c>
      <c r="D8" s="17" t="n">
        <f aca="false">D17+D26+D35+D44+D53+D62+D71+D80+D89+D98+D107+D116+D125</f>
        <v>57.8408</v>
      </c>
      <c r="E8" s="17" t="n">
        <f aca="false">E17+E26+E35+E44+E53+E62+E71+E80+E89+E98+E107+E116+E125</f>
        <v>70.4768</v>
      </c>
      <c r="F8" s="17" t="n">
        <f aca="false">F17+F26+F35+F44+F53+F62+F71+F80+F89+F98+F107+F116+F125</f>
        <v>84.8817</v>
      </c>
      <c r="G8" s="17" t="n">
        <f aca="false">G17+G26+G35+G44+G53+G62+G71+G80+G89+G98+G107+G116+G125</f>
        <v>102.6101</v>
      </c>
      <c r="H8" s="17" t="n">
        <f aca="false">H17+H26+H35+H44+H53+H62+H71+H80+H89+H98+H107+H116+H125</f>
        <v>120.6239</v>
      </c>
      <c r="I8" s="17" t="n">
        <f aca="false">I17+I26+I35+I44+I53+I62+I71+I80+I89+I98+I107+I116+I125</f>
        <v>138.595</v>
      </c>
      <c r="J8" s="17" t="n">
        <f aca="false">J17+J26+J35+J44+J53+J62+J71+J80+J89+J98+J107+J116+J125</f>
        <v>116.8944</v>
      </c>
      <c r="K8" s="17" t="n">
        <f aca="false">K17+K26+K35+K44+K53+K62+K71+K80+K89+K98+K107+K116+K125</f>
        <v>131.9015</v>
      </c>
      <c r="L8" s="17" t="n">
        <f aca="false">L17+L26+L35+L44+L53+L62+L71+L80+L89+L98+L107+L116+L125</f>
        <v>137.8988</v>
      </c>
      <c r="M8" s="17" t="n">
        <f aca="false">M17+M26+M35+M44+M53+M62+M71+M80+M89+M98+M107+M116+M125</f>
        <v>141.7336</v>
      </c>
      <c r="N8" s="17" t="n">
        <f aca="false">N17+N26+N35+N44+N53+N62+N71+N80+N89+N98+N107+N116+N125</f>
        <v>136.8117</v>
      </c>
      <c r="O8" s="17" t="n">
        <f aca="false">O17+O26+O35+O44+O53+O62+O71+O80+O89+O98+O107+O116+O125</f>
        <v>121.2336</v>
      </c>
      <c r="P8" s="17" t="n">
        <f aca="false">P17+P26+P35+P44+P53+P62+P71+P80+P89+P98+P107+P116+P125</f>
        <v>105.6289</v>
      </c>
      <c r="Q8" s="17" t="n">
        <f aca="false">Q17+Q26+Q35+Q44+Q53+Q62+Q71+Q80+Q89+Q98+Q107+Q116+Q125</f>
        <v>87.8392</v>
      </c>
      <c r="R8" s="17" t="n">
        <f aca="false">R17+R26+R35+R44+R53+R62+R71+R80+R89+R98+R107+R116+R125</f>
        <v>69.7995</v>
      </c>
      <c r="S8" s="17" t="n">
        <f aca="false">S17+S26+S35+S44+S53+S62+S71+S80+S89+S98+S107+S116+S125</f>
        <v>49.234</v>
      </c>
      <c r="T8" s="17" t="n">
        <f aca="false">T17+T26+T35+T44+T53+T62+T71+T80+T89+T98+T107+T116+T125</f>
        <v>34.7561</v>
      </c>
      <c r="U8" s="17" t="n">
        <f aca="false">U17+U26+U35+U44+U53+U62+U71+U80+U89+U98+U107+U116+U125</f>
        <v>18.2512</v>
      </c>
      <c r="V8" s="17" t="n">
        <f aca="false">V17+V26+V35+V44+V53+V62+V71+V80+V89+V98+V107+V116+V125</f>
        <v>8.2111</v>
      </c>
      <c r="W8" s="17" t="n">
        <f aca="false">W17+W26+W35+W44+W53+W62+W71+W80+W89+W98+W107+W116+W125</f>
        <v>4.3741</v>
      </c>
      <c r="X8" s="17" t="n">
        <f aca="false">X17+X26+X35+X44+X53+X62+X71+X80+X89+X98+X107+X116+X125</f>
        <v>0</v>
      </c>
      <c r="Y8" s="17" t="n">
        <f aca="false">Y17+Y26+Y35+Y44+Y53+Y62+Y71+Y80+Y89+Y98+Y107+Y116+Y125</f>
        <v>0</v>
      </c>
    </row>
    <row r="9" customFormat="false" ht="15" hidden="false" customHeight="true" outlineLevel="0" collapsed="false">
      <c r="A9" s="38" t="s">
        <v>193</v>
      </c>
      <c r="C9" s="17" t="n">
        <f aca="false">C18+C27+C36+C45+C54+C63+C72+C81+C90+C99+C108+C117+C126</f>
        <v>29.77</v>
      </c>
      <c r="D9" s="17" t="n">
        <f aca="false">D18+D27+D36+D45+D54+D63+D72+D81+D90+D99+D108+D117+D126</f>
        <v>32.3876</v>
      </c>
      <c r="E9" s="17" t="n">
        <f aca="false">E18+E27+E36+E45+E54+E63+E72+E81+E90+E99+E108+E117+E126</f>
        <v>35.6123</v>
      </c>
      <c r="F9" s="17" t="n">
        <f aca="false">F18+F27+F36+F45+F54+F63+F72+F81+F90+F99+F108+F117+F126</f>
        <v>39.2882</v>
      </c>
      <c r="G9" s="17" t="n">
        <f aca="false">G18+G27+G36+G45+G54+G63+G72+G81+G90+G99+G108+G117+G126</f>
        <v>43.715</v>
      </c>
      <c r="H9" s="17" t="n">
        <f aca="false">H18+H27+H36+H45+H54+H63+H72+H81+H90+H99+H108+H117+H126</f>
        <v>47.779</v>
      </c>
      <c r="I9" s="17" t="n">
        <f aca="false">I18+I27+I36+I45+I54+I63+I72+I81+I90+I99+I108+I117+I126</f>
        <v>51.3445</v>
      </c>
      <c r="J9" s="17" t="n">
        <f aca="false">J18+J27+J36+J45+J54+J63+J72+J81+J90+J99+J108+J117+J126</f>
        <v>26.9232</v>
      </c>
      <c r="K9" s="17" t="n">
        <f aca="false">K18+K27+K36+K45+K54+K63+K72+K81+K90+K99+K108+K117+K126</f>
        <v>29.2274</v>
      </c>
      <c r="L9" s="17" t="n">
        <f aca="false">L18+L27+L36+L45+L54+L63+L72+L81+L90+L99+L108+L117+L126</f>
        <v>29.52</v>
      </c>
      <c r="M9" s="17" t="n">
        <f aca="false">M18+M27+M36+M45+M54+M63+M72+M81+M90+M99+M108+M117+M126</f>
        <v>29.5856</v>
      </c>
      <c r="N9" s="17" t="n">
        <f aca="false">N18+N27+N36+N45+N54+N63+N72+N81+N90+N99+N108+N117+N126</f>
        <v>27.8972</v>
      </c>
      <c r="O9" s="17" t="n">
        <f aca="false">O18+O27+O36+O45+O54+O63+O72+O81+O90+O99+O108+O117+O126</f>
        <v>24.2903</v>
      </c>
      <c r="P9" s="17" t="n">
        <f aca="false">P18+P27+P36+P45+P54+P63+P72+P81+P90+P99+P108+P117+P126</f>
        <v>21.0007</v>
      </c>
      <c r="Q9" s="17" t="n">
        <f aca="false">Q18+Q27+Q36+Q45+Q54+Q63+Q72+Q81+Q90+Q99+Q108+Q117+Q126</f>
        <v>17.2506</v>
      </c>
      <c r="R9" s="17" t="n">
        <f aca="false">R18+R27+R36+R45+R54+R63+R72+R81+R90+R99+R108+R117+R126</f>
        <v>13.5169</v>
      </c>
      <c r="S9" s="17" t="n">
        <f aca="false">S18+S27+S36+S45+S54+S63+S72+S81+S90+S99+S108+S117+S126</f>
        <v>9.2605</v>
      </c>
      <c r="T9" s="17" t="n">
        <f aca="false">T18+T27+T36+T45+T54+T63+T72+T81+T90+T99+T108+T117+T126</f>
        <v>6.471</v>
      </c>
      <c r="U9" s="17" t="n">
        <f aca="false">U18+U27+U36+U45+U54+U63+U72+U81+U90+U99+U108+U117+U126</f>
        <v>3.2912</v>
      </c>
      <c r="V9" s="17" t="n">
        <f aca="false">V18+V27+V36+V45+V54+V63+V72+V81+V90+V99+V108+V117+V126</f>
        <v>1.4682</v>
      </c>
      <c r="W9" s="17" t="n">
        <f aca="false">W18+W27+W36+W45+W54+W63+W72+W81+W90+W99+W108+W117+W126</f>
        <v>0.7821</v>
      </c>
      <c r="X9" s="17" t="n">
        <f aca="false">X18+X27+X36+X45+X54+X63+X72+X81+X90+X99+X108+X117+X126</f>
        <v>0</v>
      </c>
      <c r="Y9" s="17" t="n">
        <f aca="false">Y18+Y27+Y36+Y45+Y54+Y63+Y72+Y81+Y90+Y99+Y108+Y117+Y126</f>
        <v>0</v>
      </c>
    </row>
    <row r="10" customFormat="false" ht="15" hidden="false" customHeight="true" outlineLevel="0" collapsed="false">
      <c r="A10" s="38" t="s">
        <v>194</v>
      </c>
      <c r="C10" s="17" t="n">
        <f aca="false">C19+C28+C37+C46+C55+C64+C73+C82+C91+C100+C109+C118+C127</f>
        <v>0</v>
      </c>
      <c r="D10" s="17" t="n">
        <f aca="false">D19+D28+D37+D46+D55+D64+D73+D82+D91+D100+D109+D118+D127</f>
        <v>0</v>
      </c>
      <c r="E10" s="17" t="n">
        <f aca="false">E19+E28+E37+E46+E55+E64+E73+E82+E91+E100+E109+E118+E127</f>
        <v>0</v>
      </c>
      <c r="F10" s="17" t="n">
        <f aca="false">F19+F28+F37+F46+F55+F64+F73+F82+F91+F100+F109+F118+F127</f>
        <v>0</v>
      </c>
      <c r="G10" s="17" t="n">
        <f aca="false">G19+G28+G37+G46+G55+G64+G73+G82+G91+G100+G109+G118+G127</f>
        <v>0</v>
      </c>
      <c r="H10" s="17" t="n">
        <f aca="false">H19+H28+H37+H46+H55+H64+H73+H82+H91+H100+H109+H118+H127</f>
        <v>0</v>
      </c>
      <c r="I10" s="17" t="n">
        <f aca="false">I19+I28+I37+I46+I55+I64+I73+I82+I91+I100+I109+I118+I127</f>
        <v>0</v>
      </c>
      <c r="J10" s="17" t="n">
        <f aca="false">J19+J28+J37+J46+J55+J64+J73+J82+J91+J100+J109+J118+J127</f>
        <v>0</v>
      </c>
      <c r="K10" s="17" t="n">
        <f aca="false">K19+K28+K37+K46+K55+K64+K73+K82+K91+K100+K109+K118+K127</f>
        <v>0</v>
      </c>
      <c r="L10" s="17" t="n">
        <f aca="false">L19+L28+L37+L46+L55+L64+L73+L82+L91+L100+L109+L118+L127</f>
        <v>0</v>
      </c>
      <c r="M10" s="17" t="n">
        <f aca="false">M19+M28+M37+M46+M55+M64+M73+M82+M91+M100+M109+M118+M127</f>
        <v>0</v>
      </c>
      <c r="N10" s="17" t="n">
        <f aca="false">N19+N28+N37+N46+N55+N64+N73+N82+N91+N100+N109+N118+N127</f>
        <v>0</v>
      </c>
      <c r="O10" s="17" t="n">
        <f aca="false">O19+O28+O37+O46+O55+O64+O73+O82+O91+O100+O109+O118+O127</f>
        <v>0</v>
      </c>
      <c r="P10" s="17" t="n">
        <f aca="false">P19+P28+P37+P46+P55+P64+P73+P82+P91+P100+P109+P118+P127</f>
        <v>0</v>
      </c>
      <c r="Q10" s="17" t="n">
        <f aca="false">Q19+Q28+Q37+Q46+Q55+Q64+Q73+Q82+Q91+Q100+Q109+Q118+Q127</f>
        <v>0</v>
      </c>
      <c r="R10" s="17" t="n">
        <f aca="false">R19+R28+R37+R46+R55+R64+R73+R82+R91+R100+R109+R118+R127</f>
        <v>0</v>
      </c>
      <c r="S10" s="17" t="n">
        <f aca="false">S19+S28+S37+S46+S55+S64+S73+S82+S91+S100+S109+S118+S127</f>
        <v>0</v>
      </c>
      <c r="T10" s="17" t="n">
        <f aca="false">T19+T28+T37+T46+T55+T64+T73+T82+T91+T100+T109+T118+T127</f>
        <v>0</v>
      </c>
      <c r="U10" s="17" t="n">
        <f aca="false">U19+U28+U37+U46+U55+U64+U73+U82+U91+U100+U109+U118+U127</f>
        <v>0</v>
      </c>
      <c r="V10" s="17" t="n">
        <f aca="false">V19+V28+V37+V46+V55+V64+V73+V82+V91+V100+V109+V118+V127</f>
        <v>0</v>
      </c>
      <c r="W10" s="17" t="n">
        <f aca="false">W19+W28+W37+W46+W55+W64+W73+W82+W91+W100+W109+W118+W127</f>
        <v>0</v>
      </c>
      <c r="X10" s="17" t="n">
        <f aca="false">X19+X28+X37+X46+X55+X64+X73+X82+X91+X100+X109+X118+X127</f>
        <v>0</v>
      </c>
      <c r="Y10" s="17" t="n">
        <f aca="false">Y19+Y28+Y37+Y46+Y55+Y64+Y73+Y82+Y91+Y100+Y109+Y118+Y127</f>
        <v>0</v>
      </c>
    </row>
    <row r="11" customFormat="false" ht="15" hidden="false" customHeight="true" outlineLevel="0" collapsed="false">
      <c r="A11" s="38" t="s">
        <v>195</v>
      </c>
      <c r="C11" s="17" t="n">
        <f aca="false">C20+C29+C38+C47+C56+C65+C74+C83+C92+C101+C110+C119+C128</f>
        <v>5.3467</v>
      </c>
      <c r="D11" s="17" t="n">
        <f aca="false">D20+D29+D38+D47+D56+D65+D74+D83+D92+D101+D110+D119+D128</f>
        <v>6.0953</v>
      </c>
      <c r="E11" s="17" t="n">
        <f aca="false">E20+E29+E38+E47+E56+E65+E74+E83+E92+E101+E110+E119+E128</f>
        <v>7.8488</v>
      </c>
      <c r="F11" s="17" t="n">
        <f aca="false">F20+F29+F38+F47+F56+F65+F74+F83+F92+F101+F110+F119+F128</f>
        <v>8.9476</v>
      </c>
      <c r="G11" s="17" t="n">
        <f aca="false">G20+G29+G38+G47+G56+G65+G74+G83+G92+G101+G110+G119+G128</f>
        <v>11.0218</v>
      </c>
      <c r="H11" s="17" t="n">
        <f aca="false">H20+H29+H38+H47+H56+H65+H74+H83+H92+H101+H110+H119+H128</f>
        <v>11.7339</v>
      </c>
      <c r="I11" s="17" t="n">
        <f aca="false">I20+I29+I38+I47+I56+I65+I74+I83+I92+I101+I110+I119+I128</f>
        <v>12.4852</v>
      </c>
      <c r="J11" s="17" t="n">
        <f aca="false">J20+J29+J38+J47+J56+J65+J74+J83+J92+J101+J110+J119+J128</f>
        <v>12.4212</v>
      </c>
      <c r="K11" s="17" t="n">
        <f aca="false">K20+K29+K38+K47+K56+K65+K74+K83+K92+K101+K110+K119+K128</f>
        <v>12.8768</v>
      </c>
      <c r="L11" s="17" t="n">
        <f aca="false">L20+L29+L38+L47+L56+L65+L74+L83+L92+L101+L110+L119+L128</f>
        <v>9.8176</v>
      </c>
      <c r="M11" s="17" t="n">
        <f aca="false">M20+M29+M38+M47+M56+M65+M74+M83+M92+M101+M110+M119+M128</f>
        <v>8.9633</v>
      </c>
      <c r="N11" s="17" t="n">
        <f aca="false">N20+N29+N38+N47+N56+N65+N74+N83+N92+N101+N110+N119+N128</f>
        <v>4.9829</v>
      </c>
      <c r="O11" s="17" t="n">
        <f aca="false">O20+O29+O38+O47+O56+O65+O74+O83+O92+O101+O110+O119+O128</f>
        <v>0</v>
      </c>
      <c r="P11" s="17" t="n">
        <f aca="false">P20+P29+P38+P47+P56+P65+P74+P83+P92+P101+P110+P119+P128</f>
        <v>0</v>
      </c>
      <c r="Q11" s="17" t="n">
        <f aca="false">Q20+Q29+Q38+Q47+Q56+Q65+Q74+Q83+Q92+Q101+Q110+Q119+Q128</f>
        <v>0</v>
      </c>
      <c r="R11" s="17" t="n">
        <f aca="false">R20+R29+R38+R47+R56+R65+R74+R83+R92+R101+R110+R119+R128</f>
        <v>0</v>
      </c>
      <c r="S11" s="17" t="n">
        <f aca="false">S20+S29+S38+S47+S56+S65+S74+S83+S92+S101+S110+S119+S128</f>
        <v>0</v>
      </c>
      <c r="T11" s="17" t="n">
        <f aca="false">T20+T29+T38+T47+T56+T65+T74+T83+T92+T101+T110+T119+T128</f>
        <v>0</v>
      </c>
      <c r="U11" s="17" t="n">
        <f aca="false">U20+U29+U38+U47+U56+U65+U74+U83+U92+U101+U110+U119+U128</f>
        <v>0</v>
      </c>
      <c r="V11" s="17" t="n">
        <f aca="false">V20+V29+V38+V47+V56+V65+V74+V83+V92+V101+V110+V119+V128</f>
        <v>0</v>
      </c>
      <c r="W11" s="17" t="n">
        <f aca="false">W20+W29+W38+W47+W56+W65+W74+W83+W92+W101+W110+W119+W128</f>
        <v>0</v>
      </c>
      <c r="X11" s="17" t="n">
        <f aca="false">X20+X29+X38+X47+X56+X65+X74+X83+X92+X101+X110+X119+X128</f>
        <v>0</v>
      </c>
      <c r="Y11" s="17" t="n">
        <f aca="false">Y20+Y29+Y38+Y47+Y56+Y65+Y74+Y83+Y92+Y101+Y110+Y119+Y128</f>
        <v>0</v>
      </c>
    </row>
    <row r="12" customFormat="false" ht="15" hidden="false" customHeight="true" outlineLevel="0" collapsed="false">
      <c r="A12" s="43" t="s">
        <v>196</v>
      </c>
    </row>
    <row r="13" customFormat="false" ht="15" hidden="false" customHeight="true" outlineLevel="0" collapsed="false">
      <c r="A13" s="34" t="s">
        <v>89</v>
      </c>
    </row>
    <row r="14" customFormat="false" ht="15" hidden="false" customHeight="true" outlineLevel="0" collapsed="false">
      <c r="A14" s="10" t="s">
        <v>189</v>
      </c>
      <c r="C14" s="17" t="n">
        <v>8.5295</v>
      </c>
      <c r="D14" s="17" t="n">
        <v>9.7236</v>
      </c>
      <c r="E14" s="17" t="n">
        <v>11.085</v>
      </c>
      <c r="F14" s="17" t="n">
        <v>12.6368</v>
      </c>
      <c r="G14" s="17" t="n">
        <v>14.406</v>
      </c>
      <c r="H14" s="17" t="n">
        <v>16.4228</v>
      </c>
      <c r="I14" s="17" t="n">
        <v>18.722</v>
      </c>
      <c r="J14" s="17" t="n">
        <v>21.3431</v>
      </c>
      <c r="K14" s="17" t="n">
        <v>24.3312</v>
      </c>
      <c r="L14" s="17" t="n">
        <v>27.7375</v>
      </c>
      <c r="M14" s="17" t="n">
        <v>31.6208</v>
      </c>
      <c r="N14" s="17" t="n">
        <v>0</v>
      </c>
      <c r="O14" s="17" t="n">
        <v>0</v>
      </c>
      <c r="P14" s="17" t="n">
        <v>0</v>
      </c>
      <c r="Q14" s="17" t="n">
        <v>0</v>
      </c>
      <c r="R14" s="17" t="n">
        <v>0</v>
      </c>
      <c r="S14" s="17" t="n">
        <v>0</v>
      </c>
      <c r="T14" s="17" t="n">
        <v>0</v>
      </c>
      <c r="U14" s="17" t="n">
        <v>0</v>
      </c>
      <c r="V14" s="17" t="n">
        <v>0</v>
      </c>
      <c r="W14" s="17" t="n">
        <v>0</v>
      </c>
      <c r="X14" s="17" t="n">
        <v>0</v>
      </c>
      <c r="Y14" s="17" t="n">
        <v>0</v>
      </c>
    </row>
    <row r="15" customFormat="false" ht="15" hidden="false" customHeight="true" outlineLevel="0" collapsed="false">
      <c r="A15" s="10" t="s">
        <v>190</v>
      </c>
      <c r="C15" s="17" t="n">
        <v>0.853</v>
      </c>
      <c r="D15" s="17" t="n">
        <v>1.9319</v>
      </c>
      <c r="E15" s="17" t="n">
        <v>3.162</v>
      </c>
      <c r="F15" s="17" t="n">
        <v>4.5642</v>
      </c>
      <c r="G15" s="17" t="n">
        <v>6.1628</v>
      </c>
      <c r="H15" s="17" t="n">
        <v>7.9851</v>
      </c>
      <c r="I15" s="17" t="n">
        <v>10.0626</v>
      </c>
      <c r="J15" s="17" t="n">
        <v>12.431</v>
      </c>
      <c r="K15" s="17" t="n">
        <v>15.1309</v>
      </c>
      <c r="L15" s="17" t="n">
        <v>17.2492</v>
      </c>
      <c r="M15" s="17" t="n">
        <v>19.6641</v>
      </c>
      <c r="N15" s="17" t="n">
        <v>18.8123</v>
      </c>
      <c r="O15" s="17" t="n">
        <v>17.3906</v>
      </c>
      <c r="P15" s="17" t="n">
        <v>15.77</v>
      </c>
      <c r="Q15" s="17" t="n">
        <v>13.9224</v>
      </c>
      <c r="R15" s="17" t="n">
        <v>11.8162</v>
      </c>
      <c r="S15" s="17" t="n">
        <v>9.4151</v>
      </c>
      <c r="T15" s="17" t="n">
        <v>6.6778</v>
      </c>
      <c r="U15" s="17" t="n">
        <v>3.5573</v>
      </c>
      <c r="V15" s="17" t="n">
        <v>0</v>
      </c>
      <c r="W15" s="17" t="n">
        <v>0</v>
      </c>
      <c r="X15" s="17" t="n">
        <v>0</v>
      </c>
      <c r="Y15" s="17" t="n">
        <v>0</v>
      </c>
    </row>
    <row r="16" customFormat="false" ht="15" hidden="false" customHeight="true" outlineLevel="0" collapsed="false">
      <c r="A16" s="10" t="s">
        <v>191</v>
      </c>
      <c r="C16" s="17" t="n">
        <v>0.9477</v>
      </c>
      <c r="D16" s="17" t="n">
        <v>2.0281</v>
      </c>
      <c r="E16" s="17" t="n">
        <v>3.2598</v>
      </c>
      <c r="F16" s="17" t="n">
        <v>4.6639</v>
      </c>
      <c r="G16" s="17" t="n">
        <v>6.2646</v>
      </c>
      <c r="H16" s="17" t="n">
        <v>8.0893</v>
      </c>
      <c r="I16" s="17" t="n">
        <v>10.1695</v>
      </c>
      <c r="J16" s="17" t="n">
        <v>12.541</v>
      </c>
      <c r="K16" s="17" t="n">
        <v>15.2445</v>
      </c>
      <c r="L16" s="17" t="n">
        <v>17.3787</v>
      </c>
      <c r="M16" s="17" t="n">
        <v>19.8117</v>
      </c>
      <c r="N16" s="17" t="n">
        <v>18.58</v>
      </c>
      <c r="O16" s="17" t="n">
        <v>17.1759</v>
      </c>
      <c r="P16" s="17" t="n">
        <v>15.5753</v>
      </c>
      <c r="Q16" s="17" t="n">
        <v>13.7505</v>
      </c>
      <c r="R16" s="17" t="n">
        <v>11.6703</v>
      </c>
      <c r="S16" s="17" t="n">
        <v>9.2988</v>
      </c>
      <c r="T16" s="17" t="n">
        <v>6.5954</v>
      </c>
      <c r="U16" s="17" t="n">
        <v>3.5134</v>
      </c>
      <c r="V16" s="17" t="n">
        <v>0</v>
      </c>
      <c r="W16" s="17" t="n">
        <v>0</v>
      </c>
      <c r="X16" s="17" t="n">
        <v>0</v>
      </c>
      <c r="Y16" s="17" t="n">
        <v>0</v>
      </c>
    </row>
    <row r="17" customFormat="false" ht="15" hidden="false" customHeight="true" outlineLevel="0" collapsed="false">
      <c r="A17" s="10" t="s">
        <v>192</v>
      </c>
      <c r="C17" s="17" t="n">
        <v>0.8217</v>
      </c>
      <c r="D17" s="17" t="n">
        <v>1.7585</v>
      </c>
      <c r="E17" s="17" t="n">
        <v>2.8264</v>
      </c>
      <c r="F17" s="17" t="n">
        <v>4.0438</v>
      </c>
      <c r="G17" s="17" t="n">
        <v>5.4316</v>
      </c>
      <c r="H17" s="17" t="n">
        <v>7.0138</v>
      </c>
      <c r="I17" s="17" t="n">
        <v>8.8174</v>
      </c>
      <c r="J17" s="17" t="n">
        <v>10.8735</v>
      </c>
      <c r="K17" s="17" t="n">
        <v>13.2175</v>
      </c>
      <c r="L17" s="17" t="n">
        <v>15.068</v>
      </c>
      <c r="M17" s="17" t="n">
        <v>17.1775</v>
      </c>
      <c r="N17" s="17" t="n">
        <v>16.1096</v>
      </c>
      <c r="O17" s="17" t="n">
        <v>14.8922</v>
      </c>
      <c r="P17" s="17" t="n">
        <v>13.5044</v>
      </c>
      <c r="Q17" s="17" t="n">
        <v>11.9222</v>
      </c>
      <c r="R17" s="17" t="n">
        <v>10.1186</v>
      </c>
      <c r="S17" s="17" t="n">
        <v>8.0625</v>
      </c>
      <c r="T17" s="17" t="n">
        <v>5.7184</v>
      </c>
      <c r="U17" s="17" t="n">
        <v>3.0463</v>
      </c>
      <c r="V17" s="17" t="n">
        <v>0</v>
      </c>
      <c r="W17" s="17" t="n">
        <v>0</v>
      </c>
      <c r="X17" s="17" t="n">
        <v>0</v>
      </c>
      <c r="Y17" s="17" t="n">
        <v>0</v>
      </c>
    </row>
    <row r="18" customFormat="false" ht="15" hidden="false" customHeight="true" outlineLevel="0" collapsed="false">
      <c r="A18" s="10" t="s">
        <v>193</v>
      </c>
      <c r="C18" s="17" t="n">
        <v>0.1395</v>
      </c>
      <c r="D18" s="17" t="n">
        <v>0.2985</v>
      </c>
      <c r="E18" s="17" t="n">
        <v>0.4798</v>
      </c>
      <c r="F18" s="17" t="n">
        <v>0.6865</v>
      </c>
      <c r="G18" s="17" t="n">
        <v>0.9221</v>
      </c>
      <c r="H18" s="17" t="n">
        <v>1.1908</v>
      </c>
      <c r="I18" s="17" t="n">
        <v>1.497</v>
      </c>
      <c r="J18" s="17" t="n">
        <v>1.846</v>
      </c>
      <c r="K18" s="17" t="n">
        <v>2.244</v>
      </c>
      <c r="L18" s="17" t="n">
        <v>2.5582</v>
      </c>
      <c r="M18" s="17" t="n">
        <v>2.9163</v>
      </c>
      <c r="N18" s="17" t="n">
        <v>2.735</v>
      </c>
      <c r="O18" s="17" t="n">
        <v>2.5283</v>
      </c>
      <c r="P18" s="17" t="n">
        <v>2.2927</v>
      </c>
      <c r="Q18" s="17" t="n">
        <v>2.0241</v>
      </c>
      <c r="R18" s="17" t="n">
        <v>1.7179</v>
      </c>
      <c r="S18" s="17" t="n">
        <v>1.3688</v>
      </c>
      <c r="T18" s="17" t="n">
        <v>0.9708</v>
      </c>
      <c r="U18" s="17" t="n">
        <v>0.5172</v>
      </c>
      <c r="V18" s="17" t="n">
        <v>0</v>
      </c>
      <c r="W18" s="17" t="n">
        <v>0</v>
      </c>
      <c r="X18" s="17" t="n">
        <v>0</v>
      </c>
      <c r="Y18" s="17" t="n">
        <v>0</v>
      </c>
    </row>
    <row r="19" customFormat="false" ht="15" hidden="false" customHeight="true" outlineLevel="0" collapsed="false">
      <c r="A19" s="10" t="s">
        <v>194</v>
      </c>
      <c r="C19" s="17" t="n">
        <v>0</v>
      </c>
      <c r="D19" s="17" t="n">
        <v>0</v>
      </c>
      <c r="E19" s="17" t="n">
        <v>0</v>
      </c>
      <c r="F19" s="17" t="n">
        <v>0</v>
      </c>
      <c r="G19" s="17" t="n">
        <v>0</v>
      </c>
      <c r="H19" s="17" t="n">
        <v>0</v>
      </c>
      <c r="I19" s="17" t="n">
        <v>0</v>
      </c>
      <c r="J19" s="17" t="n">
        <v>0</v>
      </c>
      <c r="K19" s="17" t="n">
        <v>0</v>
      </c>
      <c r="L19" s="17" t="n">
        <v>0</v>
      </c>
      <c r="M19" s="17" t="n">
        <v>0</v>
      </c>
      <c r="N19" s="17" t="n">
        <v>0</v>
      </c>
      <c r="O19" s="17" t="n">
        <v>0</v>
      </c>
      <c r="P19" s="17" t="n">
        <v>0</v>
      </c>
      <c r="Q19" s="17" t="n">
        <v>0</v>
      </c>
      <c r="R19" s="17" t="n">
        <v>0</v>
      </c>
      <c r="S19" s="17" t="n">
        <v>0</v>
      </c>
      <c r="T19" s="17" t="n">
        <v>0</v>
      </c>
      <c r="U19" s="17" t="n">
        <v>0</v>
      </c>
      <c r="V19" s="17" t="n">
        <v>0</v>
      </c>
      <c r="W19" s="17" t="n">
        <v>0</v>
      </c>
      <c r="X19" s="17" t="n">
        <v>0</v>
      </c>
      <c r="Y19" s="17" t="n">
        <v>0</v>
      </c>
    </row>
    <row r="20" customFormat="false" ht="15" hidden="false" customHeight="true" outlineLevel="0" collapsed="false">
      <c r="A20" s="10" t="s">
        <v>195</v>
      </c>
      <c r="C20" s="17" t="n">
        <v>0.4265</v>
      </c>
      <c r="D20" s="17" t="n">
        <v>0.4862</v>
      </c>
      <c r="E20" s="17" t="n">
        <v>0.5542</v>
      </c>
      <c r="F20" s="17" t="n">
        <v>0.6318</v>
      </c>
      <c r="G20" s="17" t="n">
        <v>0.7203</v>
      </c>
      <c r="H20" s="17" t="n">
        <v>0.8211</v>
      </c>
      <c r="I20" s="17" t="n">
        <v>0.9361</v>
      </c>
      <c r="J20" s="17" t="n">
        <v>1.0672</v>
      </c>
      <c r="K20" s="17" t="n">
        <v>1.2166</v>
      </c>
      <c r="L20" s="17" t="n">
        <v>1.3869</v>
      </c>
      <c r="M20" s="17" t="n">
        <v>1.581</v>
      </c>
      <c r="N20" s="17" t="n">
        <v>0</v>
      </c>
      <c r="O20" s="17" t="n">
        <v>0</v>
      </c>
      <c r="P20" s="17" t="n">
        <v>0</v>
      </c>
      <c r="Q20" s="17" t="n">
        <v>0</v>
      </c>
      <c r="R20" s="17" t="n">
        <v>0</v>
      </c>
      <c r="S20" s="17" t="n">
        <v>0</v>
      </c>
      <c r="T20" s="17" t="n">
        <v>0</v>
      </c>
      <c r="U20" s="17" t="n">
        <v>0</v>
      </c>
      <c r="V20" s="17" t="n">
        <v>0</v>
      </c>
      <c r="W20" s="17" t="n">
        <v>0</v>
      </c>
      <c r="X20" s="17" t="n">
        <v>0</v>
      </c>
      <c r="Y20" s="17" t="n">
        <v>0</v>
      </c>
    </row>
    <row r="22" customFormat="false" ht="15" hidden="false" customHeight="true" outlineLevel="0" collapsed="false">
      <c r="A22" s="34" t="s">
        <v>91</v>
      </c>
    </row>
    <row r="23" customFormat="false" ht="15" hidden="false" customHeight="true" outlineLevel="0" collapsed="false">
      <c r="A23" s="10" t="s">
        <v>189</v>
      </c>
      <c r="C23" s="17" t="n">
        <v>15.9262</v>
      </c>
      <c r="D23" s="17" t="n">
        <v>18.1558</v>
      </c>
      <c r="E23" s="17" t="n">
        <v>20.6976</v>
      </c>
      <c r="F23" s="17" t="n">
        <v>23.5953</v>
      </c>
      <c r="G23" s="17" t="n">
        <v>26.8987</v>
      </c>
      <c r="H23" s="17" t="n">
        <v>30.6645</v>
      </c>
      <c r="I23" s="17" t="n">
        <v>34.9575</v>
      </c>
      <c r="J23" s="17" t="n">
        <v>39.8515</v>
      </c>
      <c r="K23" s="17" t="n">
        <v>45.4308</v>
      </c>
      <c r="L23" s="17" t="n">
        <v>0</v>
      </c>
      <c r="M23" s="17" t="n">
        <v>0</v>
      </c>
      <c r="N23" s="17" t="n">
        <v>0</v>
      </c>
      <c r="O23" s="17" t="n">
        <v>0</v>
      </c>
      <c r="P23" s="17" t="n">
        <v>0</v>
      </c>
      <c r="Q23" s="17" t="n">
        <v>0</v>
      </c>
      <c r="R23" s="17" t="n">
        <v>0</v>
      </c>
      <c r="S23" s="17" t="n">
        <v>0</v>
      </c>
      <c r="T23" s="17" t="n">
        <v>0</v>
      </c>
      <c r="U23" s="17" t="n">
        <v>0</v>
      </c>
      <c r="V23" s="17" t="n">
        <v>0</v>
      </c>
      <c r="W23" s="17" t="n">
        <v>0</v>
      </c>
      <c r="X23" s="17" t="n">
        <v>0</v>
      </c>
      <c r="Y23" s="17" t="n">
        <v>0</v>
      </c>
    </row>
    <row r="24" customFormat="false" ht="15" hidden="false" customHeight="true" outlineLevel="0" collapsed="false">
      <c r="A24" s="10" t="s">
        <v>190</v>
      </c>
      <c r="C24" s="17" t="n">
        <v>1.5926</v>
      </c>
      <c r="D24" s="17" t="n">
        <v>3.6073</v>
      </c>
      <c r="E24" s="17" t="n">
        <v>5.904</v>
      </c>
      <c r="F24" s="17" t="n">
        <v>8.5222</v>
      </c>
      <c r="G24" s="17" t="n">
        <v>11.507</v>
      </c>
      <c r="H24" s="17" t="n">
        <v>14.9097</v>
      </c>
      <c r="I24" s="17" t="n">
        <v>18.7888</v>
      </c>
      <c r="J24" s="17" t="n">
        <v>23.2109</v>
      </c>
      <c r="K24" s="17" t="n">
        <v>28.2521</v>
      </c>
      <c r="L24" s="17" t="n">
        <v>27.0283</v>
      </c>
      <c r="M24" s="17" t="n">
        <v>24.9858</v>
      </c>
      <c r="N24" s="17" t="n">
        <v>22.6573</v>
      </c>
      <c r="O24" s="17" t="n">
        <v>20.0028</v>
      </c>
      <c r="P24" s="17" t="n">
        <v>16.9767</v>
      </c>
      <c r="Q24" s="17" t="n">
        <v>13.527</v>
      </c>
      <c r="R24" s="17" t="n">
        <v>9.5943</v>
      </c>
      <c r="S24" s="17" t="n">
        <v>5.111</v>
      </c>
      <c r="T24" s="17" t="n">
        <v>0</v>
      </c>
      <c r="U24" s="17" t="n">
        <v>0</v>
      </c>
      <c r="V24" s="17" t="n">
        <v>0</v>
      </c>
      <c r="W24" s="17" t="n">
        <v>0</v>
      </c>
      <c r="X24" s="17" t="n">
        <v>0</v>
      </c>
      <c r="Y24" s="17" t="n">
        <v>0</v>
      </c>
    </row>
    <row r="25" customFormat="false" ht="15" hidden="false" customHeight="true" outlineLevel="0" collapsed="false">
      <c r="A25" s="10" t="s">
        <v>191</v>
      </c>
      <c r="C25" s="17" t="n">
        <v>1.9908</v>
      </c>
      <c r="D25" s="17" t="n">
        <v>4.2602</v>
      </c>
      <c r="E25" s="17" t="n">
        <v>6.8475</v>
      </c>
      <c r="F25" s="17" t="n">
        <v>9.7969</v>
      </c>
      <c r="G25" s="17" t="n">
        <v>13.1592</v>
      </c>
      <c r="H25" s="17" t="n">
        <v>16.9923</v>
      </c>
      <c r="I25" s="17" t="n">
        <v>21.3619</v>
      </c>
      <c r="J25" s="17" t="n">
        <v>26.3434</v>
      </c>
      <c r="K25" s="17" t="n">
        <v>30.0315</v>
      </c>
      <c r="L25" s="17" t="n">
        <v>27.762</v>
      </c>
      <c r="M25" s="17" t="n">
        <v>25.1748</v>
      </c>
      <c r="N25" s="17" t="n">
        <v>22.2254</v>
      </c>
      <c r="O25" s="17" t="n">
        <v>18.863</v>
      </c>
      <c r="P25" s="17" t="n">
        <v>15.03</v>
      </c>
      <c r="Q25" s="17" t="n">
        <v>10.6603</v>
      </c>
      <c r="R25" s="17" t="n">
        <v>5.6788</v>
      </c>
      <c r="S25" s="17" t="n">
        <v>0</v>
      </c>
      <c r="T25" s="17" t="n">
        <v>0</v>
      </c>
      <c r="U25" s="17" t="n">
        <v>0</v>
      </c>
      <c r="V25" s="17" t="n">
        <v>0</v>
      </c>
      <c r="W25" s="17" t="n">
        <v>0</v>
      </c>
      <c r="X25" s="17" t="n">
        <v>0</v>
      </c>
      <c r="Y25" s="17" t="n">
        <v>0</v>
      </c>
    </row>
    <row r="26" customFormat="false" ht="15" hidden="false" customHeight="true" outlineLevel="0" collapsed="false">
      <c r="A26" s="10" t="s">
        <v>192</v>
      </c>
      <c r="C26" s="17" t="n">
        <v>1.5442</v>
      </c>
      <c r="D26" s="17" t="n">
        <v>3.3047</v>
      </c>
      <c r="E26" s="17" t="n">
        <v>5.3116</v>
      </c>
      <c r="F26" s="17" t="n">
        <v>7.5994</v>
      </c>
      <c r="G26" s="17" t="n">
        <v>10.2076</v>
      </c>
      <c r="H26" s="17" t="n">
        <v>13.1809</v>
      </c>
      <c r="I26" s="17" t="n">
        <v>16.5704</v>
      </c>
      <c r="J26" s="17" t="n">
        <v>20.4345</v>
      </c>
      <c r="K26" s="17" t="n">
        <v>23.2954</v>
      </c>
      <c r="L26" s="17" t="n">
        <v>21.5349</v>
      </c>
      <c r="M26" s="17" t="n">
        <v>19.528</v>
      </c>
      <c r="N26" s="17" t="n">
        <v>17.2402</v>
      </c>
      <c r="O26" s="17" t="n">
        <v>14.632</v>
      </c>
      <c r="P26" s="17" t="n">
        <v>11.6587</v>
      </c>
      <c r="Q26" s="17" t="n">
        <v>8.2692</v>
      </c>
      <c r="R26" s="17" t="n">
        <v>4.4051</v>
      </c>
      <c r="S26" s="17" t="n">
        <v>0</v>
      </c>
      <c r="T26" s="17" t="n">
        <v>0</v>
      </c>
      <c r="U26" s="17" t="n">
        <v>0</v>
      </c>
      <c r="V26" s="17" t="n">
        <v>0</v>
      </c>
      <c r="W26" s="17" t="n">
        <v>0</v>
      </c>
      <c r="X26" s="17" t="n">
        <v>0</v>
      </c>
      <c r="Y26" s="17" t="n">
        <v>0</v>
      </c>
    </row>
    <row r="27" customFormat="false" ht="15" hidden="false" customHeight="true" outlineLevel="0" collapsed="false">
      <c r="A27" s="10" t="s">
        <v>193</v>
      </c>
      <c r="C27" s="17" t="n">
        <v>0.3884</v>
      </c>
      <c r="D27" s="17" t="n">
        <v>0.8313</v>
      </c>
      <c r="E27" s="17" t="n">
        <v>1.3361</v>
      </c>
      <c r="F27" s="17" t="n">
        <v>1.9116</v>
      </c>
      <c r="G27" s="17" t="n">
        <v>2.5676</v>
      </c>
      <c r="H27" s="17" t="n">
        <v>3.3155</v>
      </c>
      <c r="I27" s="17" t="n">
        <v>4.1681</v>
      </c>
      <c r="J27" s="17" t="n">
        <v>5.1401</v>
      </c>
      <c r="K27" s="17" t="n">
        <v>5.8597</v>
      </c>
      <c r="L27" s="17" t="n">
        <v>5.4169</v>
      </c>
      <c r="M27" s="17" t="n">
        <v>4.9121</v>
      </c>
      <c r="N27" s="17" t="n">
        <v>4.3366</v>
      </c>
      <c r="O27" s="17" t="n">
        <v>3.6805</v>
      </c>
      <c r="P27" s="17" t="n">
        <v>2.9326</v>
      </c>
      <c r="Q27" s="17" t="n">
        <v>2.08</v>
      </c>
      <c r="R27" s="17" t="n">
        <v>1.108</v>
      </c>
      <c r="S27" s="17" t="n">
        <v>0</v>
      </c>
      <c r="T27" s="17" t="n">
        <v>0</v>
      </c>
      <c r="U27" s="17" t="n">
        <v>0</v>
      </c>
      <c r="V27" s="17" t="n">
        <v>0</v>
      </c>
      <c r="W27" s="17" t="n">
        <v>0</v>
      </c>
      <c r="X27" s="17" t="n">
        <v>0</v>
      </c>
      <c r="Y27" s="17" t="n">
        <v>0</v>
      </c>
    </row>
    <row r="28" customFormat="false" ht="15" hidden="false" customHeight="true" outlineLevel="0" collapsed="false">
      <c r="A28" s="10" t="s">
        <v>194</v>
      </c>
      <c r="C28" s="17" t="n">
        <v>0</v>
      </c>
      <c r="D28" s="17" t="n">
        <v>0</v>
      </c>
      <c r="E28" s="17" t="n">
        <v>0</v>
      </c>
      <c r="F28" s="17" t="n">
        <v>0</v>
      </c>
      <c r="G28" s="17" t="n">
        <v>0</v>
      </c>
      <c r="H28" s="17" t="n">
        <v>0</v>
      </c>
      <c r="I28" s="17" t="n">
        <v>0</v>
      </c>
      <c r="J28" s="17" t="n">
        <v>0</v>
      </c>
      <c r="K28" s="17" t="n">
        <v>0</v>
      </c>
      <c r="L28" s="17" t="n">
        <v>0</v>
      </c>
      <c r="M28" s="17" t="n">
        <v>0</v>
      </c>
      <c r="N28" s="17" t="n">
        <v>0</v>
      </c>
      <c r="O28" s="17" t="n">
        <v>0</v>
      </c>
      <c r="P28" s="17" t="n">
        <v>0</v>
      </c>
      <c r="Q28" s="17" t="n">
        <v>0</v>
      </c>
      <c r="R28" s="17" t="n">
        <v>0</v>
      </c>
      <c r="S28" s="17" t="n">
        <v>0</v>
      </c>
      <c r="T28" s="17" t="n">
        <v>0</v>
      </c>
      <c r="U28" s="17" t="n">
        <v>0</v>
      </c>
      <c r="V28" s="17" t="n">
        <v>0</v>
      </c>
      <c r="W28" s="17" t="n">
        <v>0</v>
      </c>
      <c r="X28" s="17" t="n">
        <v>0</v>
      </c>
      <c r="Y28" s="17" t="n">
        <v>0</v>
      </c>
    </row>
    <row r="29" customFormat="false" ht="15" hidden="false" customHeight="true" outlineLevel="0" collapsed="false">
      <c r="A29" s="10" t="s">
        <v>195</v>
      </c>
      <c r="C29" s="17" t="n">
        <v>0.7963</v>
      </c>
      <c r="D29" s="17" t="n">
        <v>0.9078</v>
      </c>
      <c r="E29" s="17" t="n">
        <v>1.0349</v>
      </c>
      <c r="F29" s="17" t="n">
        <v>1.1798</v>
      </c>
      <c r="G29" s="17" t="n">
        <v>1.3449</v>
      </c>
      <c r="H29" s="17" t="n">
        <v>1.5332</v>
      </c>
      <c r="I29" s="17" t="n">
        <v>1.7479</v>
      </c>
      <c r="J29" s="17" t="n">
        <v>1.9926</v>
      </c>
      <c r="K29" s="17" t="n">
        <v>2.2715</v>
      </c>
      <c r="L29" s="17" t="n">
        <v>0</v>
      </c>
      <c r="M29" s="17" t="n">
        <v>0</v>
      </c>
      <c r="N29" s="17" t="n">
        <v>0</v>
      </c>
      <c r="O29" s="17" t="n">
        <v>0</v>
      </c>
      <c r="P29" s="17" t="n">
        <v>0</v>
      </c>
      <c r="Q29" s="17" t="n">
        <v>0</v>
      </c>
      <c r="R29" s="17" t="n">
        <v>0</v>
      </c>
      <c r="S29" s="17" t="n">
        <v>0</v>
      </c>
      <c r="T29" s="17" t="n">
        <v>0</v>
      </c>
      <c r="U29" s="17" t="n">
        <v>0</v>
      </c>
      <c r="V29" s="17" t="n">
        <v>0</v>
      </c>
      <c r="W29" s="17" t="n">
        <v>0</v>
      </c>
      <c r="X29" s="17" t="n">
        <v>0</v>
      </c>
      <c r="Y29" s="17" t="n">
        <v>0</v>
      </c>
    </row>
    <row r="31" customFormat="false" ht="15" hidden="false" customHeight="true" outlineLevel="0" collapsed="false">
      <c r="A31" s="34" t="s">
        <v>93</v>
      </c>
    </row>
    <row r="32" customFormat="false" ht="15" hidden="false" customHeight="true" outlineLevel="0" collapsed="false">
      <c r="A32" s="10" t="s">
        <v>189</v>
      </c>
      <c r="C32" s="17" t="n">
        <v>5.5882</v>
      </c>
      <c r="D32" s="17" t="n">
        <v>6.3706</v>
      </c>
      <c r="E32" s="17" t="n">
        <v>7.2625</v>
      </c>
      <c r="F32" s="17" t="n">
        <v>8.2792</v>
      </c>
      <c r="G32" s="17" t="n">
        <v>9.4383</v>
      </c>
      <c r="H32" s="17" t="n">
        <v>0</v>
      </c>
      <c r="I32" s="17" t="n">
        <v>0</v>
      </c>
      <c r="J32" s="17" t="n">
        <v>0</v>
      </c>
      <c r="K32" s="17" t="n">
        <v>0</v>
      </c>
      <c r="L32" s="17" t="n">
        <v>0</v>
      </c>
      <c r="M32" s="17" t="n">
        <v>0</v>
      </c>
      <c r="N32" s="17" t="n">
        <v>0</v>
      </c>
      <c r="O32" s="17" t="n">
        <v>0</v>
      </c>
      <c r="P32" s="17" t="n">
        <v>0</v>
      </c>
      <c r="Q32" s="17" t="n">
        <v>0</v>
      </c>
      <c r="R32" s="17" t="n">
        <v>0</v>
      </c>
      <c r="S32" s="17" t="n">
        <v>0</v>
      </c>
      <c r="T32" s="17" t="n">
        <v>0</v>
      </c>
      <c r="U32" s="17" t="n">
        <v>0</v>
      </c>
      <c r="V32" s="17" t="n">
        <v>0</v>
      </c>
      <c r="W32" s="17" t="n">
        <v>0</v>
      </c>
      <c r="X32" s="17" t="n">
        <v>0</v>
      </c>
      <c r="Y32" s="17" t="n">
        <v>0</v>
      </c>
    </row>
    <row r="33" customFormat="false" ht="15" hidden="false" customHeight="true" outlineLevel="0" collapsed="false">
      <c r="A33" s="10" t="s">
        <v>190</v>
      </c>
      <c r="C33" s="17" t="n">
        <v>0.5588</v>
      </c>
      <c r="D33" s="17" t="n">
        <v>1.2657</v>
      </c>
      <c r="E33" s="17" t="n">
        <v>2.0716</v>
      </c>
      <c r="F33" s="17" t="n">
        <v>2.9903</v>
      </c>
      <c r="G33" s="17" t="n">
        <v>4.0376</v>
      </c>
      <c r="H33" s="17" t="n">
        <v>4.1556</v>
      </c>
      <c r="I33" s="17" t="n">
        <v>4.1556</v>
      </c>
      <c r="J33" s="17" t="n">
        <v>4.1556</v>
      </c>
      <c r="K33" s="17" t="n">
        <v>4.1556</v>
      </c>
      <c r="L33" s="17" t="n">
        <v>3.5269</v>
      </c>
      <c r="M33" s="17" t="n">
        <v>2.8102</v>
      </c>
      <c r="N33" s="17" t="n">
        <v>1.9932</v>
      </c>
      <c r="O33" s="17" t="n">
        <v>1.0618</v>
      </c>
      <c r="P33" s="17" t="n">
        <v>0</v>
      </c>
      <c r="Q33" s="17" t="n">
        <v>0</v>
      </c>
      <c r="R33" s="17" t="n">
        <v>0</v>
      </c>
      <c r="S33" s="17" t="n">
        <v>0</v>
      </c>
      <c r="T33" s="17" t="n">
        <v>0</v>
      </c>
      <c r="U33" s="17" t="n">
        <v>0</v>
      </c>
      <c r="V33" s="17" t="n">
        <v>0</v>
      </c>
      <c r="W33" s="17" t="n">
        <v>0</v>
      </c>
      <c r="X33" s="17" t="n">
        <v>0</v>
      </c>
      <c r="Y33" s="17" t="n">
        <v>0</v>
      </c>
    </row>
    <row r="34" customFormat="false" ht="15" hidden="false" customHeight="true" outlineLevel="0" collapsed="false">
      <c r="A34" s="10" t="s">
        <v>191</v>
      </c>
      <c r="C34" s="17" t="n">
        <v>1.1176</v>
      </c>
      <c r="D34" s="17" t="n">
        <v>2.3918</v>
      </c>
      <c r="E34" s="17" t="n">
        <v>3.8443</v>
      </c>
      <c r="F34" s="17" t="n">
        <v>5.5001</v>
      </c>
      <c r="G34" s="17" t="n">
        <v>7.3878</v>
      </c>
      <c r="H34" s="17" t="n">
        <v>6.2701</v>
      </c>
      <c r="I34" s="17" t="n">
        <v>4.996</v>
      </c>
      <c r="J34" s="17" t="n">
        <v>3.5435</v>
      </c>
      <c r="K34" s="17" t="n">
        <v>1.8877</v>
      </c>
      <c r="L34" s="17" t="n">
        <v>0</v>
      </c>
      <c r="M34" s="17" t="n">
        <v>0</v>
      </c>
      <c r="N34" s="17" t="n">
        <v>0</v>
      </c>
      <c r="O34" s="17" t="n">
        <v>0</v>
      </c>
      <c r="P34" s="17" t="n">
        <v>0</v>
      </c>
      <c r="Q34" s="17" t="n">
        <v>0</v>
      </c>
      <c r="R34" s="17" t="n">
        <v>0</v>
      </c>
      <c r="S34" s="17" t="n">
        <v>0</v>
      </c>
      <c r="T34" s="17" t="n">
        <v>0</v>
      </c>
      <c r="U34" s="17" t="n">
        <v>0</v>
      </c>
      <c r="V34" s="17" t="n">
        <v>0</v>
      </c>
      <c r="W34" s="17" t="n">
        <v>0</v>
      </c>
      <c r="X34" s="17" t="n">
        <v>0</v>
      </c>
      <c r="Y34" s="17" t="n">
        <v>0</v>
      </c>
    </row>
    <row r="35" customFormat="false" ht="15" hidden="false" customHeight="true" outlineLevel="0" collapsed="false">
      <c r="A35" s="10" t="s">
        <v>192</v>
      </c>
      <c r="C35" s="17" t="n">
        <v>0.5024</v>
      </c>
      <c r="D35" s="17" t="n">
        <v>1.075</v>
      </c>
      <c r="E35" s="17" t="n">
        <v>1.7279</v>
      </c>
      <c r="F35" s="17" t="n">
        <v>2.4722</v>
      </c>
      <c r="G35" s="17" t="n">
        <v>3.3206</v>
      </c>
      <c r="H35" s="17" t="n">
        <v>2.8183</v>
      </c>
      <c r="I35" s="17" t="n">
        <v>2.2456</v>
      </c>
      <c r="J35" s="17" t="n">
        <v>1.5927</v>
      </c>
      <c r="K35" s="17" t="n">
        <v>0.8485</v>
      </c>
      <c r="L35" s="17" t="n">
        <v>0</v>
      </c>
      <c r="M35" s="17" t="n">
        <v>0</v>
      </c>
      <c r="N35" s="17" t="n">
        <v>0</v>
      </c>
      <c r="O35" s="17" t="n">
        <v>0</v>
      </c>
      <c r="P35" s="17" t="n">
        <v>0</v>
      </c>
      <c r="Q35" s="17" t="n">
        <v>0</v>
      </c>
      <c r="R35" s="17" t="n">
        <v>0</v>
      </c>
      <c r="S35" s="17" t="n">
        <v>0</v>
      </c>
      <c r="T35" s="17" t="n">
        <v>0</v>
      </c>
      <c r="U35" s="17" t="n">
        <v>0</v>
      </c>
      <c r="V35" s="17" t="n">
        <v>0</v>
      </c>
      <c r="W35" s="17" t="n">
        <v>0</v>
      </c>
      <c r="X35" s="17" t="n">
        <v>0</v>
      </c>
      <c r="Y35" s="17" t="n">
        <v>0</v>
      </c>
    </row>
    <row r="36" customFormat="false" ht="15" hidden="false" customHeight="true" outlineLevel="0" collapsed="false">
      <c r="A36" s="10" t="s">
        <v>193</v>
      </c>
      <c r="C36" s="17" t="n">
        <v>0.2474</v>
      </c>
      <c r="D36" s="17" t="n">
        <v>0.5295</v>
      </c>
      <c r="E36" s="17" t="n">
        <v>0.8511</v>
      </c>
      <c r="F36" s="17" t="n">
        <v>1.2177</v>
      </c>
      <c r="G36" s="17" t="n">
        <v>1.6356</v>
      </c>
      <c r="H36" s="17" t="n">
        <v>1.3881</v>
      </c>
      <c r="I36" s="17" t="n">
        <v>1.1061</v>
      </c>
      <c r="J36" s="17" t="n">
        <v>0.7845</v>
      </c>
      <c r="K36" s="17" t="n">
        <v>0.4179</v>
      </c>
      <c r="L36" s="17" t="n">
        <v>0</v>
      </c>
      <c r="M36" s="17" t="n">
        <v>0</v>
      </c>
      <c r="N36" s="17" t="n">
        <v>0</v>
      </c>
      <c r="O36" s="17" t="n">
        <v>0</v>
      </c>
      <c r="P36" s="17" t="n">
        <v>0</v>
      </c>
      <c r="Q36" s="17" t="n">
        <v>0</v>
      </c>
      <c r="R36" s="17" t="n">
        <v>0</v>
      </c>
      <c r="S36" s="17" t="n">
        <v>0</v>
      </c>
      <c r="T36" s="17" t="n">
        <v>0</v>
      </c>
      <c r="U36" s="17" t="n">
        <v>0</v>
      </c>
      <c r="V36" s="17" t="n">
        <v>0</v>
      </c>
      <c r="W36" s="17" t="n">
        <v>0</v>
      </c>
      <c r="X36" s="17" t="n">
        <v>0</v>
      </c>
      <c r="Y36" s="17" t="n">
        <v>0</v>
      </c>
    </row>
    <row r="37" customFormat="false" ht="15" hidden="false" customHeight="true" outlineLevel="0" collapsed="false">
      <c r="A37" s="10" t="s">
        <v>194</v>
      </c>
      <c r="C37" s="17" t="n">
        <v>0</v>
      </c>
      <c r="D37" s="17" t="n">
        <v>0</v>
      </c>
      <c r="E37" s="17" t="n">
        <v>0</v>
      </c>
      <c r="F37" s="17" t="n">
        <v>0</v>
      </c>
      <c r="G37" s="17" t="n">
        <v>0</v>
      </c>
      <c r="H37" s="17" t="n">
        <v>0</v>
      </c>
      <c r="I37" s="17" t="n">
        <v>0</v>
      </c>
      <c r="J37" s="17" t="n">
        <v>0</v>
      </c>
      <c r="K37" s="17" t="n">
        <v>0</v>
      </c>
      <c r="L37" s="17" t="n">
        <v>0</v>
      </c>
      <c r="M37" s="17" t="n">
        <v>0</v>
      </c>
      <c r="N37" s="17" t="n">
        <v>0</v>
      </c>
      <c r="O37" s="17" t="n">
        <v>0</v>
      </c>
      <c r="P37" s="17" t="n">
        <v>0</v>
      </c>
      <c r="Q37" s="17" t="n">
        <v>0</v>
      </c>
      <c r="R37" s="17" t="n">
        <v>0</v>
      </c>
      <c r="S37" s="17" t="n">
        <v>0</v>
      </c>
      <c r="T37" s="17" t="n">
        <v>0</v>
      </c>
      <c r="U37" s="17" t="n">
        <v>0</v>
      </c>
      <c r="V37" s="17" t="n">
        <v>0</v>
      </c>
      <c r="W37" s="17" t="n">
        <v>0</v>
      </c>
      <c r="X37" s="17" t="n">
        <v>0</v>
      </c>
      <c r="Y37" s="17" t="n">
        <v>0</v>
      </c>
    </row>
    <row r="38" customFormat="false" ht="15" hidden="false" customHeight="true" outlineLevel="0" collapsed="false">
      <c r="A38" s="10" t="s">
        <v>195</v>
      </c>
      <c r="C38" s="17" t="n">
        <v>0.3353</v>
      </c>
      <c r="D38" s="17" t="n">
        <v>0.3822</v>
      </c>
      <c r="E38" s="17" t="n">
        <v>0.4357</v>
      </c>
      <c r="F38" s="17" t="n">
        <v>0.4968</v>
      </c>
      <c r="G38" s="17" t="n">
        <v>0.5663</v>
      </c>
      <c r="H38" s="17" t="n">
        <v>0</v>
      </c>
      <c r="I38" s="17" t="n">
        <v>0</v>
      </c>
      <c r="J38" s="17" t="n">
        <v>0</v>
      </c>
      <c r="K38" s="17" t="n">
        <v>0</v>
      </c>
      <c r="L38" s="17" t="n">
        <v>0</v>
      </c>
      <c r="M38" s="17" t="n">
        <v>0</v>
      </c>
      <c r="N38" s="17" t="n">
        <v>0</v>
      </c>
      <c r="O38" s="17" t="n">
        <v>0</v>
      </c>
      <c r="P38" s="17" t="n">
        <v>0</v>
      </c>
      <c r="Q38" s="17" t="n">
        <v>0</v>
      </c>
      <c r="R38" s="17" t="n">
        <v>0</v>
      </c>
      <c r="S38" s="17" t="n">
        <v>0</v>
      </c>
      <c r="T38" s="17" t="n">
        <v>0</v>
      </c>
      <c r="U38" s="17" t="n">
        <v>0</v>
      </c>
      <c r="V38" s="17" t="n">
        <v>0</v>
      </c>
      <c r="W38" s="17" t="n">
        <v>0</v>
      </c>
      <c r="X38" s="17" t="n">
        <v>0</v>
      </c>
      <c r="Y38" s="17" t="n">
        <v>0</v>
      </c>
    </row>
    <row r="40" customFormat="false" ht="15" hidden="false" customHeight="true" outlineLevel="0" collapsed="false">
      <c r="A40" s="34" t="s">
        <v>95</v>
      </c>
    </row>
    <row r="41" customFormat="false" ht="15" hidden="false" customHeight="true" outlineLevel="0" collapsed="false">
      <c r="A41" s="10" t="s">
        <v>189</v>
      </c>
      <c r="C41" s="17" t="n">
        <v>11.6045</v>
      </c>
      <c r="D41" s="17" t="n">
        <v>13.2292</v>
      </c>
      <c r="E41" s="17" t="n">
        <v>15.0813</v>
      </c>
      <c r="F41" s="17" t="n">
        <v>17.1926</v>
      </c>
      <c r="G41" s="17" t="n">
        <v>19.5996</v>
      </c>
      <c r="H41" s="17" t="n">
        <v>22.3436</v>
      </c>
      <c r="I41" s="17" t="n">
        <v>25.4717</v>
      </c>
      <c r="J41" s="17" t="n">
        <v>29.0377</v>
      </c>
      <c r="K41" s="17" t="n">
        <v>33.103</v>
      </c>
      <c r="L41" s="17" t="n">
        <v>37.7374</v>
      </c>
      <c r="M41" s="17" t="n">
        <v>43.0206</v>
      </c>
      <c r="N41" s="17" t="n">
        <v>0</v>
      </c>
      <c r="O41" s="17" t="n">
        <v>0</v>
      </c>
      <c r="P41" s="17" t="n">
        <v>0</v>
      </c>
      <c r="Q41" s="17" t="n">
        <v>0</v>
      </c>
      <c r="R41" s="17" t="n">
        <v>0</v>
      </c>
      <c r="S41" s="17" t="n">
        <v>0</v>
      </c>
      <c r="T41" s="17" t="n">
        <v>0</v>
      </c>
      <c r="U41" s="17" t="n">
        <v>0</v>
      </c>
      <c r="V41" s="17" t="n">
        <v>0</v>
      </c>
      <c r="W41" s="17" t="n">
        <v>0</v>
      </c>
      <c r="X41" s="17" t="n">
        <v>0</v>
      </c>
      <c r="Y41" s="17" t="n">
        <v>0</v>
      </c>
    </row>
    <row r="42" customFormat="false" ht="15" hidden="false" customHeight="true" outlineLevel="0" collapsed="false">
      <c r="A42" s="10" t="s">
        <v>190</v>
      </c>
      <c r="C42" s="17" t="n">
        <v>1.1605</v>
      </c>
      <c r="D42" s="17" t="n">
        <v>2.6284</v>
      </c>
      <c r="E42" s="17" t="n">
        <v>4.3019</v>
      </c>
      <c r="F42" s="17" t="n">
        <v>6.2097</v>
      </c>
      <c r="G42" s="17" t="n">
        <v>8.3846</v>
      </c>
      <c r="H42" s="17" t="n">
        <v>10.8639</v>
      </c>
      <c r="I42" s="17" t="n">
        <v>13.6904</v>
      </c>
      <c r="J42" s="17" t="n">
        <v>16.9125</v>
      </c>
      <c r="K42" s="17" t="n">
        <v>20.5858</v>
      </c>
      <c r="L42" s="17" t="n">
        <v>23.4678</v>
      </c>
      <c r="M42" s="17" t="n">
        <v>26.7533</v>
      </c>
      <c r="N42" s="17" t="n">
        <v>25.5944</v>
      </c>
      <c r="O42" s="17" t="n">
        <v>23.6603</v>
      </c>
      <c r="P42" s="17" t="n">
        <v>21.4553</v>
      </c>
      <c r="Q42" s="17" t="n">
        <v>18.9417</v>
      </c>
      <c r="R42" s="17" t="n">
        <v>16.0761</v>
      </c>
      <c r="S42" s="17" t="n">
        <v>12.8094</v>
      </c>
      <c r="T42" s="17" t="n">
        <v>9.0853</v>
      </c>
      <c r="U42" s="17" t="n">
        <v>4.8398</v>
      </c>
      <c r="V42" s="17" t="n">
        <v>0</v>
      </c>
      <c r="W42" s="17" t="n">
        <v>0</v>
      </c>
      <c r="X42" s="17" t="n">
        <v>0</v>
      </c>
      <c r="Y42" s="17" t="n">
        <v>0</v>
      </c>
    </row>
    <row r="43" customFormat="false" ht="15" hidden="false" customHeight="true" outlineLevel="0" collapsed="false">
      <c r="A43" s="10" t="s">
        <v>191</v>
      </c>
      <c r="C43" s="17" t="n">
        <v>1.2894</v>
      </c>
      <c r="D43" s="17" t="n">
        <v>2.7593</v>
      </c>
      <c r="E43" s="17" t="n">
        <v>4.435</v>
      </c>
      <c r="F43" s="17" t="n">
        <v>6.3453</v>
      </c>
      <c r="G43" s="17" t="n">
        <v>8.523</v>
      </c>
      <c r="H43" s="17" t="n">
        <v>11.0056</v>
      </c>
      <c r="I43" s="17" t="n">
        <v>13.8358</v>
      </c>
      <c r="J43" s="17" t="n">
        <v>17.0622</v>
      </c>
      <c r="K43" s="17" t="n">
        <v>20.7403</v>
      </c>
      <c r="L43" s="17" t="n">
        <v>23.644</v>
      </c>
      <c r="M43" s="17" t="n">
        <v>26.9542</v>
      </c>
      <c r="N43" s="17" t="n">
        <v>25.2785</v>
      </c>
      <c r="O43" s="17" t="n">
        <v>23.3682</v>
      </c>
      <c r="P43" s="17" t="n">
        <v>21.1904</v>
      </c>
      <c r="Q43" s="17" t="n">
        <v>18.7078</v>
      </c>
      <c r="R43" s="17" t="n">
        <v>15.8776</v>
      </c>
      <c r="S43" s="17" t="n">
        <v>12.6512</v>
      </c>
      <c r="T43" s="17" t="n">
        <v>8.9731</v>
      </c>
      <c r="U43" s="17" t="n">
        <v>4.7801</v>
      </c>
      <c r="V43" s="17" t="n">
        <v>0</v>
      </c>
      <c r="W43" s="17" t="n">
        <v>0</v>
      </c>
      <c r="X43" s="17" t="n">
        <v>0</v>
      </c>
      <c r="Y43" s="17" t="n">
        <v>0</v>
      </c>
    </row>
    <row r="44" customFormat="false" ht="15" hidden="false" customHeight="true" outlineLevel="0" collapsed="false">
      <c r="A44" s="10" t="s">
        <v>192</v>
      </c>
      <c r="C44" s="17" t="n">
        <v>0.9787</v>
      </c>
      <c r="D44" s="17" t="n">
        <v>2.0943</v>
      </c>
      <c r="E44" s="17" t="n">
        <v>3.3662</v>
      </c>
      <c r="F44" s="17" t="n">
        <v>4.8161</v>
      </c>
      <c r="G44" s="17" t="n">
        <v>6.4691</v>
      </c>
      <c r="H44" s="17" t="n">
        <v>8.3534</v>
      </c>
      <c r="I44" s="17" t="n">
        <v>10.5015</v>
      </c>
      <c r="J44" s="17" t="n">
        <v>12.9504</v>
      </c>
      <c r="K44" s="17" t="n">
        <v>15.7421</v>
      </c>
      <c r="L44" s="17" t="n">
        <v>17.946</v>
      </c>
      <c r="M44" s="17" t="n">
        <v>20.4584</v>
      </c>
      <c r="N44" s="17" t="n">
        <v>19.1866</v>
      </c>
      <c r="O44" s="17" t="n">
        <v>17.7366</v>
      </c>
      <c r="P44" s="17" t="n">
        <v>16.0837</v>
      </c>
      <c r="Q44" s="17" t="n">
        <v>14.1994</v>
      </c>
      <c r="R44" s="17" t="n">
        <v>12.0513</v>
      </c>
      <c r="S44" s="17" t="n">
        <v>9.6024</v>
      </c>
      <c r="T44" s="17" t="n">
        <v>6.8107</v>
      </c>
      <c r="U44" s="17" t="n">
        <v>3.6281</v>
      </c>
      <c r="V44" s="17" t="n">
        <v>0</v>
      </c>
      <c r="W44" s="17" t="n">
        <v>0</v>
      </c>
      <c r="X44" s="17" t="n">
        <v>0</v>
      </c>
      <c r="Y44" s="17" t="n">
        <v>0</v>
      </c>
    </row>
    <row r="45" customFormat="false" ht="15" hidden="false" customHeight="true" outlineLevel="0" collapsed="false">
      <c r="A45" s="10" t="s">
        <v>193</v>
      </c>
      <c r="C45" s="17" t="n">
        <v>0.1899</v>
      </c>
      <c r="D45" s="17" t="n">
        <v>0.4064</v>
      </c>
      <c r="E45" s="17" t="n">
        <v>0.6532</v>
      </c>
      <c r="F45" s="17" t="n">
        <v>0.9346</v>
      </c>
      <c r="G45" s="17" t="n">
        <v>1.2553</v>
      </c>
      <c r="H45" s="17" t="n">
        <v>1.621</v>
      </c>
      <c r="I45" s="17" t="n">
        <v>2.0378</v>
      </c>
      <c r="J45" s="17" t="n">
        <v>2.513</v>
      </c>
      <c r="K45" s="17" t="n">
        <v>3.0548</v>
      </c>
      <c r="L45" s="17" t="n">
        <v>3.4824</v>
      </c>
      <c r="M45" s="17" t="n">
        <v>3.97</v>
      </c>
      <c r="N45" s="17" t="n">
        <v>3.7232</v>
      </c>
      <c r="O45" s="17" t="n">
        <v>3.4418</v>
      </c>
      <c r="P45" s="17" t="n">
        <v>3.1211</v>
      </c>
      <c r="Q45" s="17" t="n">
        <v>2.7554</v>
      </c>
      <c r="R45" s="17" t="n">
        <v>2.3386</v>
      </c>
      <c r="S45" s="17" t="n">
        <v>1.8634</v>
      </c>
      <c r="T45" s="17" t="n">
        <v>1.3216</v>
      </c>
      <c r="U45" s="17" t="n">
        <v>0.704</v>
      </c>
      <c r="V45" s="17" t="n">
        <v>0</v>
      </c>
      <c r="W45" s="17" t="n">
        <v>0</v>
      </c>
      <c r="X45" s="17" t="n">
        <v>0</v>
      </c>
      <c r="Y45" s="17" t="n">
        <v>0</v>
      </c>
    </row>
    <row r="46" customFormat="false" ht="15" hidden="false" customHeight="true" outlineLevel="0" collapsed="false">
      <c r="A46" s="10" t="s">
        <v>194</v>
      </c>
      <c r="C46" s="17" t="n">
        <v>0</v>
      </c>
      <c r="D46" s="17" t="n">
        <v>0</v>
      </c>
      <c r="E46" s="17" t="n">
        <v>0</v>
      </c>
      <c r="F46" s="17" t="n">
        <v>0</v>
      </c>
      <c r="G46" s="17" t="n">
        <v>0</v>
      </c>
      <c r="H46" s="17" t="n">
        <v>0</v>
      </c>
      <c r="I46" s="17" t="n">
        <v>0</v>
      </c>
      <c r="J46" s="17" t="n">
        <v>0</v>
      </c>
      <c r="K46" s="17" t="n">
        <v>0</v>
      </c>
      <c r="L46" s="17" t="n">
        <v>0</v>
      </c>
      <c r="M46" s="17" t="n">
        <v>0</v>
      </c>
      <c r="N46" s="17" t="n">
        <v>0</v>
      </c>
      <c r="O46" s="17" t="n">
        <v>0</v>
      </c>
      <c r="P46" s="17" t="n">
        <v>0</v>
      </c>
      <c r="Q46" s="17" t="n">
        <v>0</v>
      </c>
      <c r="R46" s="17" t="n">
        <v>0</v>
      </c>
      <c r="S46" s="17" t="n">
        <v>0</v>
      </c>
      <c r="T46" s="17" t="n">
        <v>0</v>
      </c>
      <c r="U46" s="17" t="n">
        <v>0</v>
      </c>
      <c r="V46" s="17" t="n">
        <v>0</v>
      </c>
      <c r="W46" s="17" t="n">
        <v>0</v>
      </c>
      <c r="X46" s="17" t="n">
        <v>0</v>
      </c>
      <c r="Y46" s="17" t="n">
        <v>0</v>
      </c>
    </row>
    <row r="47" customFormat="false" ht="15" hidden="false" customHeight="true" outlineLevel="0" collapsed="false">
      <c r="A47" s="10" t="s">
        <v>195</v>
      </c>
      <c r="C47" s="17" t="n">
        <v>0.8123</v>
      </c>
      <c r="D47" s="17" t="n">
        <v>0.926</v>
      </c>
      <c r="E47" s="17" t="n">
        <v>1.0557</v>
      </c>
      <c r="F47" s="17" t="n">
        <v>1.2035</v>
      </c>
      <c r="G47" s="17" t="n">
        <v>1.372</v>
      </c>
      <c r="H47" s="17" t="n">
        <v>1.564</v>
      </c>
      <c r="I47" s="17" t="n">
        <v>1.783</v>
      </c>
      <c r="J47" s="17" t="n">
        <v>2.0326</v>
      </c>
      <c r="K47" s="17" t="n">
        <v>2.3172</v>
      </c>
      <c r="L47" s="17" t="n">
        <v>2.6416</v>
      </c>
      <c r="M47" s="17" t="n">
        <v>3.0114</v>
      </c>
      <c r="N47" s="17" t="n">
        <v>0</v>
      </c>
      <c r="O47" s="17" t="n">
        <v>0</v>
      </c>
      <c r="P47" s="17" t="n">
        <v>0</v>
      </c>
      <c r="Q47" s="17" t="n">
        <v>0</v>
      </c>
      <c r="R47" s="17" t="n">
        <v>0</v>
      </c>
      <c r="S47" s="17" t="n">
        <v>0</v>
      </c>
      <c r="T47" s="17" t="n">
        <v>0</v>
      </c>
      <c r="U47" s="17" t="n">
        <v>0</v>
      </c>
      <c r="V47" s="17" t="n">
        <v>0</v>
      </c>
      <c r="W47" s="17" t="n">
        <v>0</v>
      </c>
      <c r="X47" s="17" t="n">
        <v>0</v>
      </c>
      <c r="Y47" s="17" t="n">
        <v>0</v>
      </c>
    </row>
    <row r="49" customFormat="false" ht="15" hidden="false" customHeight="true" outlineLevel="0" collapsed="false">
      <c r="A49" s="34" t="s">
        <v>97</v>
      </c>
    </row>
    <row r="50" customFormat="false" ht="15" hidden="false" customHeight="true" outlineLevel="0" collapsed="false">
      <c r="A50" s="10" t="s">
        <v>189</v>
      </c>
      <c r="C50" s="17" t="n">
        <v>10.0191</v>
      </c>
      <c r="D50" s="17" t="n">
        <v>11.4218</v>
      </c>
      <c r="E50" s="17" t="n">
        <v>13.0208</v>
      </c>
      <c r="F50" s="17" t="n">
        <v>14.8437</v>
      </c>
      <c r="G50" s="17" t="n">
        <v>16.9219</v>
      </c>
      <c r="H50" s="17" t="n">
        <v>19.2909</v>
      </c>
      <c r="I50" s="17" t="n">
        <v>21.9917</v>
      </c>
      <c r="J50" s="17" t="n">
        <v>25.0705</v>
      </c>
      <c r="K50" s="17" t="n">
        <v>28.5803</v>
      </c>
      <c r="L50" s="17" t="n">
        <v>32.5816</v>
      </c>
      <c r="M50" s="17" t="n">
        <v>0</v>
      </c>
      <c r="N50" s="17" t="n">
        <v>0</v>
      </c>
      <c r="O50" s="17" t="n">
        <v>0</v>
      </c>
      <c r="P50" s="17" t="n">
        <v>0</v>
      </c>
      <c r="Q50" s="17" t="n">
        <v>0</v>
      </c>
      <c r="R50" s="17" t="n">
        <v>0</v>
      </c>
      <c r="S50" s="17" t="n">
        <v>0</v>
      </c>
      <c r="T50" s="17" t="n">
        <v>0</v>
      </c>
      <c r="U50" s="17" t="n">
        <v>0</v>
      </c>
      <c r="V50" s="17" t="n">
        <v>0</v>
      </c>
      <c r="W50" s="17" t="n">
        <v>0</v>
      </c>
      <c r="X50" s="17" t="n">
        <v>0</v>
      </c>
      <c r="Y50" s="17" t="n">
        <v>0</v>
      </c>
    </row>
    <row r="51" customFormat="false" ht="15" hidden="false" customHeight="true" outlineLevel="0" collapsed="false">
      <c r="A51" s="10" t="s">
        <v>190</v>
      </c>
      <c r="C51" s="17" t="n">
        <v>1.0019</v>
      </c>
      <c r="D51" s="17" t="n">
        <v>2.2693</v>
      </c>
      <c r="E51" s="17" t="n">
        <v>3.7142</v>
      </c>
      <c r="F51" s="17" t="n">
        <v>5.3613</v>
      </c>
      <c r="G51" s="17" t="n">
        <v>7.239</v>
      </c>
      <c r="H51" s="17" t="n">
        <v>9.3797</v>
      </c>
      <c r="I51" s="17" t="n">
        <v>11.82</v>
      </c>
      <c r="J51" s="17" t="n">
        <v>14.6019</v>
      </c>
      <c r="K51" s="17" t="n">
        <v>17.7733</v>
      </c>
      <c r="L51" s="17" t="n">
        <v>20.2616</v>
      </c>
      <c r="M51" s="17" t="n">
        <v>19.3839</v>
      </c>
      <c r="N51" s="17" t="n">
        <v>17.9191</v>
      </c>
      <c r="O51" s="17" t="n">
        <v>16.2491</v>
      </c>
      <c r="P51" s="17" t="n">
        <v>14.3454</v>
      </c>
      <c r="Q51" s="17" t="n">
        <v>12.1752</v>
      </c>
      <c r="R51" s="17" t="n">
        <v>9.7011</v>
      </c>
      <c r="S51" s="17" t="n">
        <v>6.8807</v>
      </c>
      <c r="T51" s="17" t="n">
        <v>3.6654</v>
      </c>
      <c r="U51" s="17" t="n">
        <v>0</v>
      </c>
      <c r="V51" s="17" t="n">
        <v>0</v>
      </c>
      <c r="W51" s="17" t="n">
        <v>0</v>
      </c>
      <c r="X51" s="17" t="n">
        <v>0</v>
      </c>
      <c r="Y51" s="17" t="n">
        <v>0</v>
      </c>
    </row>
    <row r="52" customFormat="false" ht="15" hidden="false" customHeight="true" outlineLevel="0" collapsed="false">
      <c r="A52" s="10" t="s">
        <v>191</v>
      </c>
      <c r="C52" s="17" t="n">
        <v>1.1132</v>
      </c>
      <c r="D52" s="17" t="n">
        <v>2.3823</v>
      </c>
      <c r="E52" s="17" t="n">
        <v>3.8291</v>
      </c>
      <c r="F52" s="17" t="n">
        <v>5.4784</v>
      </c>
      <c r="G52" s="17" t="n">
        <v>7.3586</v>
      </c>
      <c r="H52" s="17" t="n">
        <v>9.502</v>
      </c>
      <c r="I52" s="17" t="n">
        <v>11.9455</v>
      </c>
      <c r="J52" s="17" t="n">
        <v>14.7311</v>
      </c>
      <c r="K52" s="17" t="n">
        <v>17.9067</v>
      </c>
      <c r="L52" s="17" t="n">
        <v>20.4137</v>
      </c>
      <c r="M52" s="17" t="n">
        <v>19.1446</v>
      </c>
      <c r="N52" s="17" t="n">
        <v>17.6978</v>
      </c>
      <c r="O52" s="17" t="n">
        <v>16.0485</v>
      </c>
      <c r="P52" s="17" t="n">
        <v>14.1683</v>
      </c>
      <c r="Q52" s="17" t="n">
        <v>12.0249</v>
      </c>
      <c r="R52" s="17" t="n">
        <v>9.5814</v>
      </c>
      <c r="S52" s="17" t="n">
        <v>6.7958</v>
      </c>
      <c r="T52" s="17" t="n">
        <v>3.6202</v>
      </c>
      <c r="U52" s="17" t="n">
        <v>0</v>
      </c>
      <c r="V52" s="17" t="n">
        <v>0</v>
      </c>
      <c r="W52" s="17" t="n">
        <v>0</v>
      </c>
      <c r="X52" s="17" t="n">
        <v>0</v>
      </c>
      <c r="Y52" s="17" t="n">
        <v>0</v>
      </c>
    </row>
    <row r="53" customFormat="false" ht="15" hidden="false" customHeight="true" outlineLevel="0" collapsed="false">
      <c r="A53" s="10" t="s">
        <v>192</v>
      </c>
      <c r="C53" s="17" t="n">
        <v>1.0708</v>
      </c>
      <c r="D53" s="17" t="n">
        <v>2.2914</v>
      </c>
      <c r="E53" s="17" t="n">
        <v>3.683</v>
      </c>
      <c r="F53" s="17" t="n">
        <v>5.2694</v>
      </c>
      <c r="G53" s="17" t="n">
        <v>7.0779</v>
      </c>
      <c r="H53" s="17" t="n">
        <v>9.1395</v>
      </c>
      <c r="I53" s="17" t="n">
        <v>11.4899</v>
      </c>
      <c r="J53" s="17" t="n">
        <v>14.1692</v>
      </c>
      <c r="K53" s="17" t="n">
        <v>17.2237</v>
      </c>
      <c r="L53" s="17" t="n">
        <v>19.635</v>
      </c>
      <c r="M53" s="17" t="n">
        <v>18.4143</v>
      </c>
      <c r="N53" s="17" t="n">
        <v>17.0227</v>
      </c>
      <c r="O53" s="17" t="n">
        <v>15.4363</v>
      </c>
      <c r="P53" s="17" t="n">
        <v>13.6279</v>
      </c>
      <c r="Q53" s="17" t="n">
        <v>11.5662</v>
      </c>
      <c r="R53" s="17" t="n">
        <v>9.2159</v>
      </c>
      <c r="S53" s="17" t="n">
        <v>6.5365</v>
      </c>
      <c r="T53" s="17" t="n">
        <v>3.4821</v>
      </c>
      <c r="U53" s="17" t="n">
        <v>0</v>
      </c>
      <c r="V53" s="17" t="n">
        <v>0</v>
      </c>
      <c r="W53" s="17" t="n">
        <v>0</v>
      </c>
      <c r="X53" s="17" t="n">
        <v>0</v>
      </c>
      <c r="Y53" s="17" t="n">
        <v>0</v>
      </c>
    </row>
    <row r="54" customFormat="false" ht="15" hidden="false" customHeight="true" outlineLevel="0" collapsed="false">
      <c r="A54" s="10" t="s">
        <v>193</v>
      </c>
      <c r="C54" s="17" t="n">
        <v>0.2008</v>
      </c>
      <c r="D54" s="17" t="n">
        <v>0.4297</v>
      </c>
      <c r="E54" s="17" t="n">
        <v>0.6906</v>
      </c>
      <c r="F54" s="17" t="n">
        <v>0.9881</v>
      </c>
      <c r="G54" s="17" t="n">
        <v>1.3272</v>
      </c>
      <c r="H54" s="17" t="n">
        <v>1.7138</v>
      </c>
      <c r="I54" s="17" t="n">
        <v>2.1545</v>
      </c>
      <c r="J54" s="17" t="n">
        <v>2.657</v>
      </c>
      <c r="K54" s="17" t="n">
        <v>3.2297</v>
      </c>
      <c r="L54" s="17" t="n">
        <v>3.6819</v>
      </c>
      <c r="M54" s="17" t="n">
        <v>3.453</v>
      </c>
      <c r="N54" s="17" t="n">
        <v>3.192</v>
      </c>
      <c r="O54" s="17" t="n">
        <v>2.8946</v>
      </c>
      <c r="P54" s="17" t="n">
        <v>2.5554</v>
      </c>
      <c r="Q54" s="17" t="n">
        <v>2.1689</v>
      </c>
      <c r="R54" s="17" t="n">
        <v>1.7281</v>
      </c>
      <c r="S54" s="17" t="n">
        <v>1.2257</v>
      </c>
      <c r="T54" s="17" t="n">
        <v>0.6529</v>
      </c>
      <c r="U54" s="17" t="n">
        <v>0</v>
      </c>
      <c r="V54" s="17" t="n">
        <v>0</v>
      </c>
      <c r="W54" s="17" t="n">
        <v>0</v>
      </c>
      <c r="X54" s="17" t="n">
        <v>0</v>
      </c>
      <c r="Y54" s="17" t="n">
        <v>0</v>
      </c>
    </row>
    <row r="55" customFormat="false" ht="15" hidden="false" customHeight="true" outlineLevel="0" collapsed="false">
      <c r="A55" s="10" t="s">
        <v>194</v>
      </c>
      <c r="C55" s="17" t="n">
        <v>0</v>
      </c>
      <c r="D55" s="17" t="n">
        <v>0</v>
      </c>
      <c r="E55" s="17" t="n">
        <v>0</v>
      </c>
      <c r="F55" s="17" t="n">
        <v>0</v>
      </c>
      <c r="G55" s="17" t="n">
        <v>0</v>
      </c>
      <c r="H55" s="17" t="n">
        <v>0</v>
      </c>
      <c r="I55" s="17" t="n">
        <v>0</v>
      </c>
      <c r="J55" s="17" t="n">
        <v>0</v>
      </c>
      <c r="K55" s="17" t="n">
        <v>0</v>
      </c>
      <c r="L55" s="17" t="n">
        <v>0</v>
      </c>
      <c r="M55" s="17" t="n">
        <v>0</v>
      </c>
      <c r="N55" s="17" t="n">
        <v>0</v>
      </c>
      <c r="O55" s="17" t="n">
        <v>0</v>
      </c>
      <c r="P55" s="17" t="n">
        <v>0</v>
      </c>
      <c r="Q55" s="17" t="n">
        <v>0</v>
      </c>
      <c r="R55" s="17" t="n">
        <v>0</v>
      </c>
      <c r="S55" s="17" t="n">
        <v>0</v>
      </c>
      <c r="T55" s="17" t="n">
        <v>0</v>
      </c>
      <c r="U55" s="17" t="n">
        <v>0</v>
      </c>
      <c r="V55" s="17" t="n">
        <v>0</v>
      </c>
      <c r="W55" s="17" t="n">
        <v>0</v>
      </c>
      <c r="X55" s="17" t="n">
        <v>0</v>
      </c>
      <c r="Y55" s="17" t="n">
        <v>0</v>
      </c>
    </row>
    <row r="56" customFormat="false" ht="15" hidden="false" customHeight="true" outlineLevel="0" collapsed="false">
      <c r="A56" s="10" t="s">
        <v>195</v>
      </c>
      <c r="C56" s="17" t="n">
        <v>0.6011</v>
      </c>
      <c r="D56" s="17" t="n">
        <v>0.6853</v>
      </c>
      <c r="E56" s="17" t="n">
        <v>0.7812</v>
      </c>
      <c r="F56" s="17" t="n">
        <v>0.8906</v>
      </c>
      <c r="G56" s="17" t="n">
        <v>1.0153</v>
      </c>
      <c r="H56" s="17" t="n">
        <v>1.1575</v>
      </c>
      <c r="I56" s="17" t="n">
        <v>1.3195</v>
      </c>
      <c r="J56" s="17" t="n">
        <v>1.5042</v>
      </c>
      <c r="K56" s="17" t="n">
        <v>1.7148</v>
      </c>
      <c r="L56" s="17" t="n">
        <v>1.9549</v>
      </c>
      <c r="M56" s="17" t="n">
        <v>0</v>
      </c>
      <c r="N56" s="17" t="n">
        <v>0</v>
      </c>
      <c r="O56" s="17" t="n">
        <v>0</v>
      </c>
      <c r="P56" s="17" t="n">
        <v>0</v>
      </c>
      <c r="Q56" s="17" t="n">
        <v>0</v>
      </c>
      <c r="R56" s="17" t="n">
        <v>0</v>
      </c>
      <c r="S56" s="17" t="n">
        <v>0</v>
      </c>
      <c r="T56" s="17" t="n">
        <v>0</v>
      </c>
      <c r="U56" s="17" t="n">
        <v>0</v>
      </c>
      <c r="V56" s="17" t="n">
        <v>0</v>
      </c>
      <c r="W56" s="17" t="n">
        <v>0</v>
      </c>
      <c r="X56" s="17" t="n">
        <v>0</v>
      </c>
      <c r="Y56" s="17" t="n">
        <v>0</v>
      </c>
    </row>
    <row r="58" customFormat="false" ht="15" hidden="false" customHeight="true" outlineLevel="0" collapsed="false">
      <c r="A58" s="34" t="s">
        <v>99</v>
      </c>
    </row>
    <row r="59" customFormat="false" ht="15" hidden="false" customHeight="true" outlineLevel="0" collapsed="false">
      <c r="A59" s="10" t="s">
        <v>189</v>
      </c>
      <c r="C59" s="17" t="n">
        <v>5.803</v>
      </c>
      <c r="D59" s="17" t="n">
        <v>6.6154</v>
      </c>
      <c r="E59" s="17" t="n">
        <v>7.5416</v>
      </c>
      <c r="F59" s="17" t="n">
        <v>8.5974</v>
      </c>
      <c r="G59" s="17" t="n">
        <v>9.801</v>
      </c>
      <c r="H59" s="17" t="n">
        <v>11.1732</v>
      </c>
      <c r="I59" s="17" t="n">
        <v>0</v>
      </c>
      <c r="J59" s="17" t="n">
        <v>0</v>
      </c>
      <c r="K59" s="17" t="n">
        <v>0</v>
      </c>
      <c r="L59" s="17" t="n">
        <v>0</v>
      </c>
      <c r="M59" s="17" t="n">
        <v>0</v>
      </c>
      <c r="N59" s="17" t="n">
        <v>0</v>
      </c>
      <c r="O59" s="17" t="n">
        <v>0</v>
      </c>
      <c r="P59" s="17" t="n">
        <v>0</v>
      </c>
      <c r="Q59" s="17" t="n">
        <v>0</v>
      </c>
      <c r="R59" s="17" t="n">
        <v>0</v>
      </c>
      <c r="S59" s="17" t="n">
        <v>0</v>
      </c>
      <c r="T59" s="17" t="n">
        <v>0</v>
      </c>
      <c r="U59" s="17" t="n">
        <v>0</v>
      </c>
      <c r="V59" s="17" t="n">
        <v>0</v>
      </c>
      <c r="W59" s="17" t="n">
        <v>0</v>
      </c>
      <c r="X59" s="17" t="n">
        <v>0</v>
      </c>
      <c r="Y59" s="17" t="n">
        <v>0</v>
      </c>
    </row>
    <row r="60" customFormat="false" ht="15" hidden="false" customHeight="true" outlineLevel="0" collapsed="false">
      <c r="A60" s="10" t="s">
        <v>190</v>
      </c>
      <c r="C60" s="17" t="n">
        <v>0.5803</v>
      </c>
      <c r="D60" s="17" t="n">
        <v>1.3144</v>
      </c>
      <c r="E60" s="17" t="n">
        <v>2.1512</v>
      </c>
      <c r="F60" s="17" t="n">
        <v>3.1052</v>
      </c>
      <c r="G60" s="17" t="n">
        <v>4.1928</v>
      </c>
      <c r="H60" s="17" t="n">
        <v>5.4326</v>
      </c>
      <c r="I60" s="17" t="n">
        <v>5.5723</v>
      </c>
      <c r="J60" s="17" t="n">
        <v>5.5723</v>
      </c>
      <c r="K60" s="17" t="n">
        <v>5.5723</v>
      </c>
      <c r="L60" s="17" t="n">
        <v>4.9195</v>
      </c>
      <c r="M60" s="17" t="n">
        <v>4.1752</v>
      </c>
      <c r="N60" s="17" t="n">
        <v>3.3268</v>
      </c>
      <c r="O60" s="17" t="n">
        <v>2.3596</v>
      </c>
      <c r="P60" s="17" t="n">
        <v>1.257</v>
      </c>
      <c r="Q60" s="17" t="n">
        <v>0</v>
      </c>
      <c r="R60" s="17" t="n">
        <v>0</v>
      </c>
      <c r="S60" s="17" t="n">
        <v>0</v>
      </c>
      <c r="T60" s="17" t="n">
        <v>0</v>
      </c>
      <c r="U60" s="17" t="n">
        <v>0</v>
      </c>
      <c r="V60" s="17" t="n">
        <v>0</v>
      </c>
      <c r="W60" s="17" t="n">
        <v>0</v>
      </c>
      <c r="X60" s="17" t="n">
        <v>0</v>
      </c>
      <c r="Y60" s="17" t="n">
        <v>0</v>
      </c>
    </row>
    <row r="61" customFormat="false" ht="15" hidden="false" customHeight="true" outlineLevel="0" collapsed="false">
      <c r="A61" s="10" t="s">
        <v>191</v>
      </c>
      <c r="C61" s="17" t="n">
        <v>0.9672</v>
      </c>
      <c r="D61" s="17" t="n">
        <v>2.0697</v>
      </c>
      <c r="E61" s="17" t="n">
        <v>3.3267</v>
      </c>
      <c r="F61" s="17" t="n">
        <v>4.7596</v>
      </c>
      <c r="G61" s="17" t="n">
        <v>6.3931</v>
      </c>
      <c r="H61" s="17" t="n">
        <v>8.2553</v>
      </c>
      <c r="I61" s="17" t="n">
        <v>7.2881</v>
      </c>
      <c r="J61" s="17" t="n">
        <v>6.1855</v>
      </c>
      <c r="K61" s="17" t="n">
        <v>4.9286</v>
      </c>
      <c r="L61" s="17" t="n">
        <v>3.4957</v>
      </c>
      <c r="M61" s="17" t="n">
        <v>1.8622</v>
      </c>
      <c r="N61" s="17" t="n">
        <v>0</v>
      </c>
      <c r="O61" s="17" t="n">
        <v>0</v>
      </c>
      <c r="P61" s="17" t="n">
        <v>0</v>
      </c>
      <c r="Q61" s="17" t="n">
        <v>0</v>
      </c>
      <c r="R61" s="17" t="n">
        <v>0</v>
      </c>
      <c r="S61" s="17" t="n">
        <v>0</v>
      </c>
      <c r="T61" s="17" t="n">
        <v>0</v>
      </c>
      <c r="U61" s="17" t="n">
        <v>0</v>
      </c>
      <c r="V61" s="17" t="n">
        <v>0</v>
      </c>
      <c r="W61" s="17" t="n">
        <v>0</v>
      </c>
      <c r="X61" s="17" t="n">
        <v>0</v>
      </c>
      <c r="Y61" s="17" t="n">
        <v>0</v>
      </c>
    </row>
    <row r="62" customFormat="false" ht="15" hidden="false" customHeight="true" outlineLevel="0" collapsed="false">
      <c r="A62" s="10" t="s">
        <v>192</v>
      </c>
      <c r="C62" s="17" t="n">
        <v>0.5332</v>
      </c>
      <c r="D62" s="17" t="n">
        <v>1.141</v>
      </c>
      <c r="E62" s="17" t="n">
        <v>1.8339</v>
      </c>
      <c r="F62" s="17" t="n">
        <v>2.6238</v>
      </c>
      <c r="G62" s="17" t="n">
        <v>3.5243</v>
      </c>
      <c r="H62" s="17" t="n">
        <v>4.5509</v>
      </c>
      <c r="I62" s="17" t="n">
        <v>4.0177</v>
      </c>
      <c r="J62" s="17" t="n">
        <v>3.4099</v>
      </c>
      <c r="K62" s="17" t="n">
        <v>2.717</v>
      </c>
      <c r="L62" s="17" t="n">
        <v>1.9271</v>
      </c>
      <c r="M62" s="17" t="n">
        <v>1.0266</v>
      </c>
      <c r="N62" s="17" t="n">
        <v>0</v>
      </c>
      <c r="O62" s="17" t="n">
        <v>0</v>
      </c>
      <c r="P62" s="17" t="n">
        <v>0</v>
      </c>
      <c r="Q62" s="17" t="n">
        <v>0</v>
      </c>
      <c r="R62" s="17" t="n">
        <v>0</v>
      </c>
      <c r="S62" s="17" t="n">
        <v>0</v>
      </c>
      <c r="T62" s="17" t="n">
        <v>0</v>
      </c>
      <c r="U62" s="17" t="n">
        <v>0</v>
      </c>
      <c r="V62" s="17" t="n">
        <v>0</v>
      </c>
      <c r="W62" s="17" t="n">
        <v>0</v>
      </c>
      <c r="X62" s="17" t="n">
        <v>0</v>
      </c>
      <c r="Y62" s="17" t="n">
        <v>0</v>
      </c>
    </row>
    <row r="63" customFormat="false" ht="15" hidden="false" customHeight="true" outlineLevel="0" collapsed="false">
      <c r="A63" s="10" t="s">
        <v>193</v>
      </c>
      <c r="C63" s="17" t="n">
        <v>0.2313</v>
      </c>
      <c r="D63" s="17" t="n">
        <v>0.4949</v>
      </c>
      <c r="E63" s="17" t="n">
        <v>0.7955</v>
      </c>
      <c r="F63" s="17" t="n">
        <v>1.1381</v>
      </c>
      <c r="G63" s="17" t="n">
        <v>1.5287</v>
      </c>
      <c r="H63" s="17" t="n">
        <v>1.974</v>
      </c>
      <c r="I63" s="17" t="n">
        <v>1.7427</v>
      </c>
      <c r="J63" s="17" t="n">
        <v>1.4791</v>
      </c>
      <c r="K63" s="17" t="n">
        <v>1.1785</v>
      </c>
      <c r="L63" s="17" t="n">
        <v>0.8359</v>
      </c>
      <c r="M63" s="17" t="n">
        <v>0.4453</v>
      </c>
      <c r="N63" s="17" t="n">
        <v>0</v>
      </c>
      <c r="O63" s="17" t="n">
        <v>0</v>
      </c>
      <c r="P63" s="17" t="n">
        <v>0</v>
      </c>
      <c r="Q63" s="17" t="n">
        <v>0</v>
      </c>
      <c r="R63" s="17" t="n">
        <v>0</v>
      </c>
      <c r="S63" s="17" t="n">
        <v>0</v>
      </c>
      <c r="T63" s="17" t="n">
        <v>0</v>
      </c>
      <c r="U63" s="17" t="n">
        <v>0</v>
      </c>
      <c r="V63" s="17" t="n">
        <v>0</v>
      </c>
      <c r="W63" s="17" t="n">
        <v>0</v>
      </c>
      <c r="X63" s="17" t="n">
        <v>0</v>
      </c>
      <c r="Y63" s="17" t="n">
        <v>0</v>
      </c>
    </row>
    <row r="64" customFormat="false" ht="15" hidden="false" customHeight="true" outlineLevel="0" collapsed="false">
      <c r="A64" s="10" t="s">
        <v>194</v>
      </c>
      <c r="C64" s="17" t="n">
        <v>0</v>
      </c>
      <c r="D64" s="17" t="n">
        <v>0</v>
      </c>
      <c r="E64" s="17" t="n">
        <v>0</v>
      </c>
      <c r="F64" s="17" t="n">
        <v>0</v>
      </c>
      <c r="G64" s="17" t="n">
        <v>0</v>
      </c>
      <c r="H64" s="17" t="n">
        <v>0</v>
      </c>
      <c r="I64" s="17" t="n">
        <v>0</v>
      </c>
      <c r="J64" s="17" t="n">
        <v>0</v>
      </c>
      <c r="K64" s="17" t="n">
        <v>0</v>
      </c>
      <c r="L64" s="17" t="n">
        <v>0</v>
      </c>
      <c r="M64" s="17" t="n">
        <v>0</v>
      </c>
      <c r="N64" s="17" t="n">
        <v>0</v>
      </c>
      <c r="O64" s="17" t="n">
        <v>0</v>
      </c>
      <c r="P64" s="17" t="n">
        <v>0</v>
      </c>
      <c r="Q64" s="17" t="n">
        <v>0</v>
      </c>
      <c r="R64" s="17" t="n">
        <v>0</v>
      </c>
      <c r="S64" s="17" t="n">
        <v>0</v>
      </c>
      <c r="T64" s="17" t="n">
        <v>0</v>
      </c>
      <c r="U64" s="17" t="n">
        <v>0</v>
      </c>
      <c r="V64" s="17" t="n">
        <v>0</v>
      </c>
      <c r="W64" s="17" t="n">
        <v>0</v>
      </c>
      <c r="X64" s="17" t="n">
        <v>0</v>
      </c>
      <c r="Y64" s="17" t="n">
        <v>0</v>
      </c>
    </row>
    <row r="65" customFormat="false" ht="15" hidden="false" customHeight="true" outlineLevel="0" collapsed="false">
      <c r="A65" s="10" t="s">
        <v>195</v>
      </c>
      <c r="C65" s="17" t="n">
        <v>0.4062</v>
      </c>
      <c r="D65" s="17" t="n">
        <v>0.4631</v>
      </c>
      <c r="E65" s="17" t="n">
        <v>0.5279</v>
      </c>
      <c r="F65" s="17" t="n">
        <v>0.6018</v>
      </c>
      <c r="G65" s="17" t="n">
        <v>0.6861</v>
      </c>
      <c r="H65" s="17" t="n">
        <v>0.7821</v>
      </c>
      <c r="I65" s="17" t="n">
        <v>0</v>
      </c>
      <c r="J65" s="17" t="n">
        <v>0</v>
      </c>
      <c r="K65" s="17" t="n">
        <v>0</v>
      </c>
      <c r="L65" s="17" t="n">
        <v>0</v>
      </c>
      <c r="M65" s="17" t="n">
        <v>0</v>
      </c>
      <c r="N65" s="17" t="n">
        <v>0</v>
      </c>
      <c r="O65" s="17" t="n">
        <v>0</v>
      </c>
      <c r="P65" s="17" t="n">
        <v>0</v>
      </c>
      <c r="Q65" s="17" t="n">
        <v>0</v>
      </c>
      <c r="R65" s="17" t="n">
        <v>0</v>
      </c>
      <c r="S65" s="17" t="n">
        <v>0</v>
      </c>
      <c r="T65" s="17" t="n">
        <v>0</v>
      </c>
      <c r="U65" s="17" t="n">
        <v>0</v>
      </c>
      <c r="V65" s="17" t="n">
        <v>0</v>
      </c>
      <c r="W65" s="17" t="n">
        <v>0</v>
      </c>
      <c r="X65" s="17" t="n">
        <v>0</v>
      </c>
      <c r="Y65" s="17" t="n">
        <v>0</v>
      </c>
    </row>
    <row r="67" customFormat="false" ht="15" hidden="false" customHeight="true" outlineLevel="0" collapsed="false">
      <c r="A67" s="34" t="s">
        <v>101</v>
      </c>
    </row>
    <row r="68" customFormat="false" ht="15" hidden="false" customHeight="true" outlineLevel="0" collapsed="false">
      <c r="A68" s="10" t="s">
        <v>189</v>
      </c>
      <c r="C68" s="17" t="n">
        <v>1.9245</v>
      </c>
      <c r="D68" s="17" t="n">
        <v>2.1939</v>
      </c>
      <c r="E68" s="17" t="n">
        <v>2.5011</v>
      </c>
      <c r="F68" s="17" t="n">
        <v>2.8512</v>
      </c>
      <c r="G68" s="17" t="n">
        <v>3.2504</v>
      </c>
      <c r="H68" s="17" t="n">
        <v>0</v>
      </c>
      <c r="I68" s="17" t="n">
        <v>0</v>
      </c>
      <c r="J68" s="17" t="n">
        <v>0</v>
      </c>
      <c r="K68" s="17" t="n">
        <v>0</v>
      </c>
      <c r="L68" s="17" t="n">
        <v>0</v>
      </c>
      <c r="M68" s="17" t="n">
        <v>0</v>
      </c>
      <c r="N68" s="17" t="n">
        <v>0</v>
      </c>
      <c r="O68" s="17" t="n">
        <v>0</v>
      </c>
      <c r="P68" s="17" t="n">
        <v>0</v>
      </c>
      <c r="Q68" s="17" t="n">
        <v>0</v>
      </c>
      <c r="R68" s="17" t="n">
        <v>0</v>
      </c>
      <c r="S68" s="17" t="n">
        <v>0</v>
      </c>
      <c r="T68" s="17" t="n">
        <v>0</v>
      </c>
      <c r="U68" s="17" t="n">
        <v>0</v>
      </c>
      <c r="V68" s="17" t="n">
        <v>0</v>
      </c>
      <c r="W68" s="17" t="n">
        <v>0</v>
      </c>
      <c r="X68" s="17" t="n">
        <v>0</v>
      </c>
      <c r="Y68" s="17" t="n">
        <v>0</v>
      </c>
    </row>
    <row r="69" customFormat="false" ht="15" hidden="false" customHeight="true" outlineLevel="0" collapsed="false">
      <c r="A69" s="10" t="s">
        <v>190</v>
      </c>
      <c r="C69" s="17" t="n">
        <v>0.1924</v>
      </c>
      <c r="D69" s="17" t="n">
        <v>0.4359</v>
      </c>
      <c r="E69" s="17" t="n">
        <v>0.7134</v>
      </c>
      <c r="F69" s="17" t="n">
        <v>1.0298</v>
      </c>
      <c r="G69" s="17" t="n">
        <v>1.3905</v>
      </c>
      <c r="H69" s="17" t="n">
        <v>1.4311</v>
      </c>
      <c r="I69" s="17" t="n">
        <v>1.4311</v>
      </c>
      <c r="J69" s="17" t="n">
        <v>1.4311</v>
      </c>
      <c r="K69" s="17" t="n">
        <v>1.4311</v>
      </c>
      <c r="L69" s="17" t="n">
        <v>1.2146</v>
      </c>
      <c r="M69" s="17" t="n">
        <v>0.9678</v>
      </c>
      <c r="N69" s="17" t="n">
        <v>0.6864</v>
      </c>
      <c r="O69" s="17" t="n">
        <v>0.3657</v>
      </c>
      <c r="P69" s="17" t="n">
        <v>0</v>
      </c>
      <c r="Q69" s="17" t="n">
        <v>0</v>
      </c>
      <c r="R69" s="17" t="n">
        <v>0</v>
      </c>
      <c r="S69" s="17" t="n">
        <v>0</v>
      </c>
      <c r="T69" s="17" t="n">
        <v>0</v>
      </c>
      <c r="U69" s="17" t="n">
        <v>0</v>
      </c>
      <c r="V69" s="17" t="n">
        <v>0</v>
      </c>
      <c r="W69" s="17" t="n">
        <v>0</v>
      </c>
      <c r="X69" s="17" t="n">
        <v>0</v>
      </c>
      <c r="Y69" s="17" t="n">
        <v>0</v>
      </c>
    </row>
    <row r="70" customFormat="false" ht="15" hidden="false" customHeight="true" outlineLevel="0" collapsed="false">
      <c r="A70" s="10" t="s">
        <v>191</v>
      </c>
      <c r="C70" s="17" t="n">
        <v>0.4811</v>
      </c>
      <c r="D70" s="17" t="n">
        <v>1.0296</v>
      </c>
      <c r="E70" s="17" t="n">
        <v>1.6549</v>
      </c>
      <c r="F70" s="17" t="n">
        <v>2.3677</v>
      </c>
      <c r="G70" s="17" t="n">
        <v>2.6992</v>
      </c>
      <c r="H70" s="17" t="n">
        <v>2.1507</v>
      </c>
      <c r="I70" s="17" t="n">
        <v>1.5254</v>
      </c>
      <c r="J70" s="17" t="n">
        <v>0.8126</v>
      </c>
      <c r="K70" s="17" t="n">
        <v>0</v>
      </c>
      <c r="L70" s="17" t="n">
        <v>0</v>
      </c>
      <c r="M70" s="17" t="n">
        <v>0</v>
      </c>
      <c r="N70" s="17" t="n">
        <v>0</v>
      </c>
      <c r="O70" s="17" t="n">
        <v>0</v>
      </c>
      <c r="P70" s="17" t="n">
        <v>0</v>
      </c>
      <c r="Q70" s="17" t="n">
        <v>0</v>
      </c>
      <c r="R70" s="17" t="n">
        <v>0</v>
      </c>
      <c r="S70" s="17" t="n">
        <v>0</v>
      </c>
      <c r="T70" s="17" t="n">
        <v>0</v>
      </c>
      <c r="U70" s="17" t="n">
        <v>0</v>
      </c>
      <c r="V70" s="17" t="n">
        <v>0</v>
      </c>
      <c r="W70" s="17" t="n">
        <v>0</v>
      </c>
      <c r="X70" s="17" t="n">
        <v>0</v>
      </c>
      <c r="Y70" s="17" t="n">
        <v>0</v>
      </c>
    </row>
    <row r="71" customFormat="false" ht="15" hidden="false" customHeight="true" outlineLevel="0" collapsed="false">
      <c r="A71" s="10" t="s">
        <v>192</v>
      </c>
      <c r="C71" s="17" t="n">
        <v>0.3777</v>
      </c>
      <c r="D71" s="17" t="n">
        <v>0.8084</v>
      </c>
      <c r="E71" s="17" t="n">
        <v>1.2993</v>
      </c>
      <c r="F71" s="17" t="n">
        <v>1.859</v>
      </c>
      <c r="G71" s="17" t="n">
        <v>2.1192</v>
      </c>
      <c r="H71" s="17" t="n">
        <v>1.6886</v>
      </c>
      <c r="I71" s="17" t="n">
        <v>1.1977</v>
      </c>
      <c r="J71" s="17" t="n">
        <v>0.638</v>
      </c>
      <c r="K71" s="17" t="n">
        <v>0</v>
      </c>
      <c r="L71" s="17" t="n">
        <v>0</v>
      </c>
      <c r="M71" s="17" t="n">
        <v>0</v>
      </c>
      <c r="N71" s="17" t="n">
        <v>0</v>
      </c>
      <c r="O71" s="17" t="n">
        <v>0</v>
      </c>
      <c r="P71" s="17" t="n">
        <v>0</v>
      </c>
      <c r="Q71" s="17" t="n">
        <v>0</v>
      </c>
      <c r="R71" s="17" t="n">
        <v>0</v>
      </c>
      <c r="S71" s="17" t="n">
        <v>0</v>
      </c>
      <c r="T71" s="17" t="n">
        <v>0</v>
      </c>
      <c r="U71" s="17" t="n">
        <v>0</v>
      </c>
      <c r="V71" s="17" t="n">
        <v>0</v>
      </c>
      <c r="W71" s="17" t="n">
        <v>0</v>
      </c>
      <c r="X71" s="17" t="n">
        <v>0</v>
      </c>
      <c r="Y71" s="17" t="n">
        <v>0</v>
      </c>
    </row>
    <row r="72" customFormat="false" ht="15" hidden="false" customHeight="true" outlineLevel="0" collapsed="false">
      <c r="A72" s="10" t="s">
        <v>193</v>
      </c>
      <c r="C72" s="17" t="n">
        <v>0.1345</v>
      </c>
      <c r="D72" s="17" t="n">
        <v>0.2877</v>
      </c>
      <c r="E72" s="17" t="n">
        <v>0.4625</v>
      </c>
      <c r="F72" s="17" t="n">
        <v>0.6617</v>
      </c>
      <c r="G72" s="17" t="n">
        <v>0.7543</v>
      </c>
      <c r="H72" s="17" t="n">
        <v>0.601</v>
      </c>
      <c r="I72" s="17" t="n">
        <v>0.4263</v>
      </c>
      <c r="J72" s="17" t="n">
        <v>0.2271</v>
      </c>
      <c r="K72" s="17" t="n">
        <v>0</v>
      </c>
      <c r="L72" s="17" t="n">
        <v>0</v>
      </c>
      <c r="M72" s="17" t="n">
        <v>0</v>
      </c>
      <c r="N72" s="17" t="n">
        <v>0</v>
      </c>
      <c r="O72" s="17" t="n">
        <v>0</v>
      </c>
      <c r="P72" s="17" t="n">
        <v>0</v>
      </c>
      <c r="Q72" s="17" t="n">
        <v>0</v>
      </c>
      <c r="R72" s="17" t="n">
        <v>0</v>
      </c>
      <c r="S72" s="17" t="n">
        <v>0</v>
      </c>
      <c r="T72" s="17" t="n">
        <v>0</v>
      </c>
      <c r="U72" s="17" t="n">
        <v>0</v>
      </c>
      <c r="V72" s="17" t="n">
        <v>0</v>
      </c>
      <c r="W72" s="17" t="n">
        <v>0</v>
      </c>
      <c r="X72" s="17" t="n">
        <v>0</v>
      </c>
      <c r="Y72" s="17" t="n">
        <v>0</v>
      </c>
    </row>
    <row r="73" customFormat="false" ht="15" hidden="false" customHeight="true" outlineLevel="0" collapsed="false">
      <c r="A73" s="10" t="s">
        <v>194</v>
      </c>
      <c r="C73" s="17" t="n">
        <v>0</v>
      </c>
      <c r="D73" s="17" t="n">
        <v>0</v>
      </c>
      <c r="E73" s="17" t="n">
        <v>0</v>
      </c>
      <c r="F73" s="17" t="n">
        <v>0</v>
      </c>
      <c r="G73" s="17" t="n">
        <v>0</v>
      </c>
      <c r="H73" s="17" t="n">
        <v>0</v>
      </c>
      <c r="I73" s="17" t="n">
        <v>0</v>
      </c>
      <c r="J73" s="17" t="n">
        <v>0</v>
      </c>
      <c r="K73" s="17" t="n">
        <v>0</v>
      </c>
      <c r="L73" s="17" t="n">
        <v>0</v>
      </c>
      <c r="M73" s="17" t="n">
        <v>0</v>
      </c>
      <c r="N73" s="17" t="n">
        <v>0</v>
      </c>
      <c r="O73" s="17" t="n">
        <v>0</v>
      </c>
      <c r="P73" s="17" t="n">
        <v>0</v>
      </c>
      <c r="Q73" s="17" t="n">
        <v>0</v>
      </c>
      <c r="R73" s="17" t="n">
        <v>0</v>
      </c>
      <c r="S73" s="17" t="n">
        <v>0</v>
      </c>
      <c r="T73" s="17" t="n">
        <v>0</v>
      </c>
      <c r="U73" s="17" t="n">
        <v>0</v>
      </c>
      <c r="V73" s="17" t="n">
        <v>0</v>
      </c>
      <c r="W73" s="17" t="n">
        <v>0</v>
      </c>
      <c r="X73" s="17" t="n">
        <v>0</v>
      </c>
      <c r="Y73" s="17" t="n">
        <v>0</v>
      </c>
    </row>
    <row r="74" customFormat="false" ht="15" hidden="false" customHeight="true" outlineLevel="0" collapsed="false">
      <c r="A74" s="10" t="s">
        <v>195</v>
      </c>
      <c r="C74" s="17" t="n">
        <v>0.0962</v>
      </c>
      <c r="D74" s="17" t="n">
        <v>0.1097</v>
      </c>
      <c r="E74" s="17" t="n">
        <v>0.1251</v>
      </c>
      <c r="F74" s="17" t="n">
        <v>0.1426</v>
      </c>
      <c r="G74" s="17" t="n">
        <v>0.1625</v>
      </c>
      <c r="H74" s="17" t="n">
        <v>0</v>
      </c>
      <c r="I74" s="17" t="n">
        <v>0</v>
      </c>
      <c r="J74" s="17" t="n">
        <v>0</v>
      </c>
      <c r="K74" s="17" t="n">
        <v>0</v>
      </c>
      <c r="L74" s="17" t="n">
        <v>0</v>
      </c>
      <c r="M74" s="17" t="n">
        <v>0</v>
      </c>
      <c r="N74" s="17" t="n">
        <v>0</v>
      </c>
      <c r="O74" s="17" t="n">
        <v>0</v>
      </c>
      <c r="P74" s="17" t="n">
        <v>0</v>
      </c>
      <c r="Q74" s="17" t="n">
        <v>0</v>
      </c>
      <c r="R74" s="17" t="n">
        <v>0</v>
      </c>
      <c r="S74" s="17" t="n">
        <v>0</v>
      </c>
      <c r="T74" s="17" t="n">
        <v>0</v>
      </c>
      <c r="U74" s="17" t="n">
        <v>0</v>
      </c>
      <c r="V74" s="17" t="n">
        <v>0</v>
      </c>
      <c r="W74" s="17" t="n">
        <v>0</v>
      </c>
      <c r="X74" s="17" t="n">
        <v>0</v>
      </c>
      <c r="Y74" s="17" t="n">
        <v>0</v>
      </c>
    </row>
    <row r="76" customFormat="false" ht="15" hidden="false" customHeight="true" outlineLevel="0" collapsed="false">
      <c r="A76" s="34" t="s">
        <v>102</v>
      </c>
    </row>
    <row r="77" customFormat="false" ht="15" hidden="false" customHeight="true" outlineLevel="0" collapsed="false">
      <c r="A77" s="10" t="s">
        <v>189</v>
      </c>
      <c r="C77" s="17" t="n">
        <v>9.0514</v>
      </c>
      <c r="D77" s="17" t="n">
        <v>10.3186</v>
      </c>
      <c r="E77" s="17" t="n">
        <v>11.7632</v>
      </c>
      <c r="F77" s="17" t="n">
        <v>13.4101</v>
      </c>
      <c r="G77" s="17" t="n">
        <v>15.2875</v>
      </c>
      <c r="H77" s="17" t="n">
        <v>17.4278</v>
      </c>
      <c r="I77" s="17" t="n">
        <v>19.8676</v>
      </c>
      <c r="J77" s="17" t="n">
        <v>0</v>
      </c>
      <c r="K77" s="17" t="n">
        <v>0</v>
      </c>
      <c r="L77" s="17" t="n">
        <v>0</v>
      </c>
      <c r="M77" s="17" t="n">
        <v>0</v>
      </c>
      <c r="N77" s="17" t="n">
        <v>0</v>
      </c>
      <c r="O77" s="17" t="n">
        <v>0</v>
      </c>
      <c r="P77" s="17" t="n">
        <v>0</v>
      </c>
      <c r="Q77" s="17" t="n">
        <v>0</v>
      </c>
      <c r="R77" s="17" t="n">
        <v>0</v>
      </c>
      <c r="S77" s="17" t="n">
        <v>0</v>
      </c>
      <c r="T77" s="17" t="n">
        <v>0</v>
      </c>
      <c r="U77" s="17" t="n">
        <v>0</v>
      </c>
      <c r="V77" s="17" t="n">
        <v>0</v>
      </c>
      <c r="W77" s="17" t="n">
        <v>0</v>
      </c>
      <c r="X77" s="17" t="n">
        <v>0</v>
      </c>
      <c r="Y77" s="17" t="n">
        <v>0</v>
      </c>
    </row>
    <row r="78" customFormat="false" ht="15" hidden="false" customHeight="true" outlineLevel="0" collapsed="false">
      <c r="A78" s="10" t="s">
        <v>190</v>
      </c>
      <c r="C78" s="17" t="n">
        <v>0.9051</v>
      </c>
      <c r="D78" s="17" t="n">
        <v>2.0501</v>
      </c>
      <c r="E78" s="17" t="n">
        <v>3.3555</v>
      </c>
      <c r="F78" s="17" t="n">
        <v>4.8435</v>
      </c>
      <c r="G78" s="17" t="n">
        <v>6.5399</v>
      </c>
      <c r="H78" s="17" t="n">
        <v>8.4737</v>
      </c>
      <c r="I78" s="17" t="n">
        <v>10.6784</v>
      </c>
      <c r="J78" s="17" t="n">
        <v>10.9267</v>
      </c>
      <c r="K78" s="17" t="n">
        <v>10.9267</v>
      </c>
      <c r="L78" s="17" t="n">
        <v>9.9084</v>
      </c>
      <c r="M78" s="17" t="n">
        <v>8.7476</v>
      </c>
      <c r="N78" s="17" t="n">
        <v>7.4242</v>
      </c>
      <c r="O78" s="17" t="n">
        <v>5.9156</v>
      </c>
      <c r="P78" s="17" t="n">
        <v>4.1957</v>
      </c>
      <c r="Q78" s="17" t="n">
        <v>2.2351</v>
      </c>
      <c r="R78" s="17" t="n">
        <v>0</v>
      </c>
      <c r="S78" s="17" t="n">
        <v>0</v>
      </c>
      <c r="T78" s="17" t="n">
        <v>0</v>
      </c>
      <c r="U78" s="17" t="n">
        <v>0</v>
      </c>
      <c r="V78" s="17" t="n">
        <v>0</v>
      </c>
      <c r="W78" s="17" t="n">
        <v>0</v>
      </c>
      <c r="X78" s="17" t="n">
        <v>0</v>
      </c>
      <c r="Y78" s="17" t="n">
        <v>0</v>
      </c>
    </row>
    <row r="79" customFormat="false" ht="15" hidden="false" customHeight="true" outlineLevel="0" collapsed="false">
      <c r="A79" s="10" t="s">
        <v>191</v>
      </c>
      <c r="C79" s="17" t="n">
        <v>1.5086</v>
      </c>
      <c r="D79" s="17" t="n">
        <v>3.2283</v>
      </c>
      <c r="E79" s="17" t="n">
        <v>5.1889</v>
      </c>
      <c r="F79" s="17" t="n">
        <v>7.4239</v>
      </c>
      <c r="G79" s="17" t="n">
        <v>9.9718</v>
      </c>
      <c r="H79" s="17" t="n">
        <v>12.8764</v>
      </c>
      <c r="I79" s="17" t="n">
        <v>14.6791</v>
      </c>
      <c r="J79" s="17" t="n">
        <v>12.9594</v>
      </c>
      <c r="K79" s="17" t="n">
        <v>10.9988</v>
      </c>
      <c r="L79" s="17" t="n">
        <v>8.7638</v>
      </c>
      <c r="M79" s="17" t="n">
        <v>6.2159</v>
      </c>
      <c r="N79" s="17" t="n">
        <v>3.3113</v>
      </c>
      <c r="O79" s="17" t="n">
        <v>0</v>
      </c>
      <c r="P79" s="17" t="n">
        <v>0</v>
      </c>
      <c r="Q79" s="17" t="n">
        <v>0</v>
      </c>
      <c r="R79" s="17" t="n">
        <v>0</v>
      </c>
      <c r="S79" s="17" t="n">
        <v>0</v>
      </c>
      <c r="T79" s="17" t="n">
        <v>0</v>
      </c>
      <c r="U79" s="17" t="n">
        <v>0</v>
      </c>
      <c r="V79" s="17" t="n">
        <v>0</v>
      </c>
      <c r="W79" s="17" t="n">
        <v>0</v>
      </c>
      <c r="X79" s="17" t="n">
        <v>0</v>
      </c>
      <c r="Y79" s="17" t="n">
        <v>0</v>
      </c>
    </row>
    <row r="80" customFormat="false" ht="15" hidden="false" customHeight="true" outlineLevel="0" collapsed="false">
      <c r="A80" s="10" t="s">
        <v>192</v>
      </c>
      <c r="C80" s="17" t="n">
        <v>0.8608</v>
      </c>
      <c r="D80" s="17" t="n">
        <v>1.8421</v>
      </c>
      <c r="E80" s="17" t="n">
        <v>2.9608</v>
      </c>
      <c r="F80" s="17" t="n">
        <v>4.2361</v>
      </c>
      <c r="G80" s="17" t="n">
        <v>5.6899</v>
      </c>
      <c r="H80" s="17" t="n">
        <v>7.3473</v>
      </c>
      <c r="I80" s="17" t="n">
        <v>8.3759</v>
      </c>
      <c r="J80" s="17" t="n">
        <v>7.3946</v>
      </c>
      <c r="K80" s="17" t="n">
        <v>6.2759</v>
      </c>
      <c r="L80" s="17" t="n">
        <v>5.0006</v>
      </c>
      <c r="M80" s="17" t="n">
        <v>3.5468</v>
      </c>
      <c r="N80" s="17" t="n">
        <v>1.8894</v>
      </c>
      <c r="O80" s="17" t="n">
        <v>0</v>
      </c>
      <c r="P80" s="17" t="n">
        <v>0</v>
      </c>
      <c r="Q80" s="17" t="n">
        <v>0</v>
      </c>
      <c r="R80" s="17" t="n">
        <v>0</v>
      </c>
      <c r="S80" s="17" t="n">
        <v>0</v>
      </c>
      <c r="T80" s="17" t="n">
        <v>0</v>
      </c>
      <c r="U80" s="17" t="n">
        <v>0</v>
      </c>
      <c r="V80" s="17" t="n">
        <v>0</v>
      </c>
      <c r="W80" s="17" t="n">
        <v>0</v>
      </c>
      <c r="X80" s="17" t="n">
        <v>0</v>
      </c>
      <c r="Y80" s="17" t="n">
        <v>0</v>
      </c>
    </row>
    <row r="81" customFormat="false" ht="15" hidden="false" customHeight="true" outlineLevel="0" collapsed="false">
      <c r="A81" s="10" t="s">
        <v>193</v>
      </c>
      <c r="C81" s="17" t="n">
        <v>0.3285</v>
      </c>
      <c r="D81" s="17" t="n">
        <v>0.7031</v>
      </c>
      <c r="E81" s="17" t="n">
        <v>1.1301</v>
      </c>
      <c r="F81" s="17" t="n">
        <v>1.6168</v>
      </c>
      <c r="G81" s="17" t="n">
        <v>2.1717</v>
      </c>
      <c r="H81" s="17" t="n">
        <v>2.8043</v>
      </c>
      <c r="I81" s="17" t="n">
        <v>3.197</v>
      </c>
      <c r="J81" s="17" t="n">
        <v>2.8224</v>
      </c>
      <c r="K81" s="17" t="n">
        <v>2.3954</v>
      </c>
      <c r="L81" s="17" t="n">
        <v>1.9087</v>
      </c>
      <c r="M81" s="17" t="n">
        <v>1.3538</v>
      </c>
      <c r="N81" s="17" t="n">
        <v>0.7212</v>
      </c>
      <c r="O81" s="17" t="n">
        <v>0</v>
      </c>
      <c r="P81" s="17" t="n">
        <v>0</v>
      </c>
      <c r="Q81" s="17" t="n">
        <v>0</v>
      </c>
      <c r="R81" s="17" t="n">
        <v>0</v>
      </c>
      <c r="S81" s="17" t="n">
        <v>0</v>
      </c>
      <c r="T81" s="17" t="n">
        <v>0</v>
      </c>
      <c r="U81" s="17" t="n">
        <v>0</v>
      </c>
      <c r="V81" s="17" t="n">
        <v>0</v>
      </c>
      <c r="W81" s="17" t="n">
        <v>0</v>
      </c>
      <c r="X81" s="17" t="n">
        <v>0</v>
      </c>
      <c r="Y81" s="17" t="n">
        <v>0</v>
      </c>
    </row>
    <row r="82" customFormat="false" ht="15" hidden="false" customHeight="true" outlineLevel="0" collapsed="false">
      <c r="A82" s="10" t="s">
        <v>194</v>
      </c>
      <c r="C82" s="17" t="n">
        <v>0</v>
      </c>
      <c r="D82" s="17" t="n">
        <v>0</v>
      </c>
      <c r="E82" s="17" t="n">
        <v>0</v>
      </c>
      <c r="F82" s="17" t="n">
        <v>0</v>
      </c>
      <c r="G82" s="17" t="n">
        <v>0</v>
      </c>
      <c r="H82" s="17" t="n">
        <v>0</v>
      </c>
      <c r="I82" s="17" t="n">
        <v>0</v>
      </c>
      <c r="J82" s="17" t="n">
        <v>0</v>
      </c>
      <c r="K82" s="17" t="n">
        <v>0</v>
      </c>
      <c r="L82" s="17" t="n">
        <v>0</v>
      </c>
      <c r="M82" s="17" t="n">
        <v>0</v>
      </c>
      <c r="N82" s="17" t="n">
        <v>0</v>
      </c>
      <c r="O82" s="17" t="n">
        <v>0</v>
      </c>
      <c r="P82" s="17" t="n">
        <v>0</v>
      </c>
      <c r="Q82" s="17" t="n">
        <v>0</v>
      </c>
      <c r="R82" s="17" t="n">
        <v>0</v>
      </c>
      <c r="S82" s="17" t="n">
        <v>0</v>
      </c>
      <c r="T82" s="17" t="n">
        <v>0</v>
      </c>
      <c r="U82" s="17" t="n">
        <v>0</v>
      </c>
      <c r="V82" s="17" t="n">
        <v>0</v>
      </c>
      <c r="W82" s="17" t="n">
        <v>0</v>
      </c>
      <c r="X82" s="17" t="n">
        <v>0</v>
      </c>
      <c r="Y82" s="17" t="n">
        <v>0</v>
      </c>
    </row>
    <row r="83" customFormat="false" ht="15" hidden="false" customHeight="true" outlineLevel="0" collapsed="false">
      <c r="A83" s="10" t="s">
        <v>195</v>
      </c>
      <c r="C83" s="17" t="n">
        <v>0.7241</v>
      </c>
      <c r="D83" s="17" t="n">
        <v>0.8255</v>
      </c>
      <c r="E83" s="17" t="n">
        <v>0.9411</v>
      </c>
      <c r="F83" s="17" t="n">
        <v>1.0728</v>
      </c>
      <c r="G83" s="17" t="n">
        <v>1.223</v>
      </c>
      <c r="H83" s="17" t="n">
        <v>1.3942</v>
      </c>
      <c r="I83" s="17" t="n">
        <v>1.5894</v>
      </c>
      <c r="J83" s="17" t="n">
        <v>0</v>
      </c>
      <c r="K83" s="17" t="n">
        <v>0</v>
      </c>
      <c r="L83" s="17" t="n">
        <v>0</v>
      </c>
      <c r="M83" s="17" t="n">
        <v>0</v>
      </c>
      <c r="N83" s="17" t="n">
        <v>0</v>
      </c>
      <c r="O83" s="17" t="n">
        <v>0</v>
      </c>
      <c r="P83" s="17" t="n">
        <v>0</v>
      </c>
      <c r="Q83" s="17" t="n">
        <v>0</v>
      </c>
      <c r="R83" s="17" t="n">
        <v>0</v>
      </c>
      <c r="S83" s="17" t="n">
        <v>0</v>
      </c>
      <c r="T83" s="17" t="n">
        <v>0</v>
      </c>
      <c r="U83" s="17" t="n">
        <v>0</v>
      </c>
      <c r="V83" s="17" t="n">
        <v>0</v>
      </c>
      <c r="W83" s="17" t="n">
        <v>0</v>
      </c>
      <c r="X83" s="17" t="n">
        <v>0</v>
      </c>
      <c r="Y83" s="17" t="n">
        <v>0</v>
      </c>
    </row>
    <row r="85" customFormat="false" ht="15" hidden="false" customHeight="true" outlineLevel="0" collapsed="false">
      <c r="A85" s="34" t="s">
        <v>104</v>
      </c>
    </row>
    <row r="86" customFormat="false" ht="15" hidden="false" customHeight="true" outlineLevel="0" collapsed="false">
      <c r="A86" s="10" t="s">
        <v>189</v>
      </c>
      <c r="C86" s="17" t="n">
        <v>11.6467</v>
      </c>
      <c r="D86" s="17" t="n">
        <v>13.2772</v>
      </c>
      <c r="E86" s="17" t="n">
        <v>15.1361</v>
      </c>
      <c r="F86" s="17" t="n">
        <v>17.2551</v>
      </c>
      <c r="G86" s="17" t="n">
        <v>19.6708</v>
      </c>
      <c r="H86" s="17" t="n">
        <v>22.4247</v>
      </c>
      <c r="I86" s="17" t="n">
        <v>25.5642</v>
      </c>
      <c r="J86" s="17" t="n">
        <v>29.1432</v>
      </c>
      <c r="K86" s="17" t="n">
        <v>33.2232</v>
      </c>
      <c r="L86" s="17" t="n">
        <v>0</v>
      </c>
      <c r="M86" s="17" t="n">
        <v>0</v>
      </c>
      <c r="N86" s="17" t="n">
        <v>0</v>
      </c>
      <c r="O86" s="17" t="n">
        <v>0</v>
      </c>
      <c r="P86" s="17" t="n">
        <v>0</v>
      </c>
      <c r="Q86" s="17" t="n">
        <v>0</v>
      </c>
      <c r="R86" s="17" t="n">
        <v>0</v>
      </c>
      <c r="S86" s="17" t="n">
        <v>0</v>
      </c>
      <c r="T86" s="17" t="n">
        <v>0</v>
      </c>
      <c r="U86" s="17" t="n">
        <v>0</v>
      </c>
      <c r="V86" s="17" t="n">
        <v>0</v>
      </c>
      <c r="W86" s="17" t="n">
        <v>0</v>
      </c>
      <c r="X86" s="17" t="n">
        <v>0</v>
      </c>
      <c r="Y86" s="17" t="n">
        <v>0</v>
      </c>
    </row>
    <row r="87" customFormat="false" ht="15" hidden="false" customHeight="true" outlineLevel="0" collapsed="false">
      <c r="A87" s="10" t="s">
        <v>190</v>
      </c>
      <c r="C87" s="17" t="n">
        <v>1.1647</v>
      </c>
      <c r="D87" s="17" t="n">
        <v>2.638</v>
      </c>
      <c r="E87" s="17" t="n">
        <v>4.3175</v>
      </c>
      <c r="F87" s="17" t="n">
        <v>6.2323</v>
      </c>
      <c r="G87" s="17" t="n">
        <v>8.415</v>
      </c>
      <c r="H87" s="17" t="n">
        <v>10.9034</v>
      </c>
      <c r="I87" s="17" t="n">
        <v>13.7401</v>
      </c>
      <c r="J87" s="17" t="n">
        <v>16.974</v>
      </c>
      <c r="K87" s="17" t="n">
        <v>20.6606</v>
      </c>
      <c r="L87" s="17" t="n">
        <v>19.7656</v>
      </c>
      <c r="M87" s="17" t="n">
        <v>18.2719</v>
      </c>
      <c r="N87" s="17" t="n">
        <v>16.5691</v>
      </c>
      <c r="O87" s="17" t="n">
        <v>14.6279</v>
      </c>
      <c r="P87" s="17" t="n">
        <v>12.415</v>
      </c>
      <c r="Q87" s="17" t="n">
        <v>9.8922</v>
      </c>
      <c r="R87" s="17" t="n">
        <v>7.0162</v>
      </c>
      <c r="S87" s="17" t="n">
        <v>3.7376</v>
      </c>
      <c r="T87" s="17" t="n">
        <v>0</v>
      </c>
      <c r="U87" s="17" t="n">
        <v>0</v>
      </c>
      <c r="V87" s="17" t="n">
        <v>0</v>
      </c>
      <c r="W87" s="17" t="n">
        <v>0</v>
      </c>
      <c r="X87" s="17" t="n">
        <v>0</v>
      </c>
      <c r="Y87" s="17" t="n">
        <v>0</v>
      </c>
    </row>
    <row r="88" customFormat="false" ht="15" hidden="false" customHeight="true" outlineLevel="0" collapsed="false">
      <c r="A88" s="10" t="s">
        <v>191</v>
      </c>
      <c r="C88" s="17" t="n">
        <v>1.4558</v>
      </c>
      <c r="D88" s="17" t="n">
        <v>3.1155</v>
      </c>
      <c r="E88" s="17" t="n">
        <v>5.0075</v>
      </c>
      <c r="F88" s="17" t="n">
        <v>7.1644</v>
      </c>
      <c r="G88" s="17" t="n">
        <v>9.6232</v>
      </c>
      <c r="H88" s="17" t="n">
        <v>12.4263</v>
      </c>
      <c r="I88" s="17" t="n">
        <v>15.6219</v>
      </c>
      <c r="J88" s="17" t="n">
        <v>19.2647</v>
      </c>
      <c r="K88" s="17" t="n">
        <v>21.9618</v>
      </c>
      <c r="L88" s="17" t="n">
        <v>20.3022</v>
      </c>
      <c r="M88" s="17" t="n">
        <v>18.4102</v>
      </c>
      <c r="N88" s="17" t="n">
        <v>16.2533</v>
      </c>
      <c r="O88" s="17" t="n">
        <v>13.7944</v>
      </c>
      <c r="P88" s="17" t="n">
        <v>10.9913</v>
      </c>
      <c r="Q88" s="17" t="n">
        <v>7.7958</v>
      </c>
      <c r="R88" s="17" t="n">
        <v>4.1529</v>
      </c>
      <c r="S88" s="17" t="n">
        <v>0</v>
      </c>
      <c r="T88" s="17" t="n">
        <v>0</v>
      </c>
      <c r="U88" s="17" t="n">
        <v>0</v>
      </c>
      <c r="V88" s="17" t="n">
        <v>0</v>
      </c>
      <c r="W88" s="17" t="n">
        <v>0</v>
      </c>
      <c r="X88" s="17" t="n">
        <v>0</v>
      </c>
      <c r="Y88" s="17" t="n">
        <v>0</v>
      </c>
    </row>
    <row r="89" customFormat="false" ht="15" hidden="false" customHeight="true" outlineLevel="0" collapsed="false">
      <c r="A89" s="10" t="s">
        <v>192</v>
      </c>
      <c r="C89" s="17" t="n">
        <v>1.2131</v>
      </c>
      <c r="D89" s="17" t="n">
        <v>2.596</v>
      </c>
      <c r="E89" s="17" t="n">
        <v>4.1725</v>
      </c>
      <c r="F89" s="17" t="n">
        <v>5.9697</v>
      </c>
      <c r="G89" s="17" t="n">
        <v>8.0185</v>
      </c>
      <c r="H89" s="17" t="n">
        <v>10.3542</v>
      </c>
      <c r="I89" s="17" t="n">
        <v>13.0168</v>
      </c>
      <c r="J89" s="17" t="n">
        <v>16.0523</v>
      </c>
      <c r="K89" s="17" t="n">
        <v>18.2996</v>
      </c>
      <c r="L89" s="17" t="n">
        <v>16.9167</v>
      </c>
      <c r="M89" s="17" t="n">
        <v>15.3402</v>
      </c>
      <c r="N89" s="17" t="n">
        <v>13.5429</v>
      </c>
      <c r="O89" s="17" t="n">
        <v>11.4941</v>
      </c>
      <c r="P89" s="17" t="n">
        <v>9.1585</v>
      </c>
      <c r="Q89" s="17" t="n">
        <v>6.4958</v>
      </c>
      <c r="R89" s="17" t="n">
        <v>3.4604</v>
      </c>
      <c r="S89" s="17" t="n">
        <v>0</v>
      </c>
      <c r="T89" s="17" t="n">
        <v>0</v>
      </c>
      <c r="U89" s="17" t="n">
        <v>0</v>
      </c>
      <c r="V89" s="17" t="n">
        <v>0</v>
      </c>
      <c r="W89" s="17" t="n">
        <v>0</v>
      </c>
      <c r="X89" s="17" t="n">
        <v>0</v>
      </c>
      <c r="Y89" s="17" t="n">
        <v>0</v>
      </c>
    </row>
    <row r="90" customFormat="false" ht="15" hidden="false" customHeight="true" outlineLevel="0" collapsed="false">
      <c r="A90" s="10" t="s">
        <v>193</v>
      </c>
      <c r="C90" s="17" t="n">
        <v>0.2459</v>
      </c>
      <c r="D90" s="17" t="n">
        <v>0.5263</v>
      </c>
      <c r="E90" s="17" t="n">
        <v>0.846</v>
      </c>
      <c r="F90" s="17" t="n">
        <v>1.2103</v>
      </c>
      <c r="G90" s="17" t="n">
        <v>1.6257</v>
      </c>
      <c r="H90" s="17" t="n">
        <v>2.0993</v>
      </c>
      <c r="I90" s="17" t="n">
        <v>2.6391</v>
      </c>
      <c r="J90" s="17" t="n">
        <v>3.2545</v>
      </c>
      <c r="K90" s="17" t="n">
        <v>3.7102</v>
      </c>
      <c r="L90" s="17" t="n">
        <v>3.4298</v>
      </c>
      <c r="M90" s="17" t="n">
        <v>3.1102</v>
      </c>
      <c r="N90" s="17" t="n">
        <v>2.7458</v>
      </c>
      <c r="O90" s="17" t="n">
        <v>2.3304</v>
      </c>
      <c r="P90" s="17" t="n">
        <v>1.8568</v>
      </c>
      <c r="Q90" s="17" t="n">
        <v>1.317</v>
      </c>
      <c r="R90" s="17" t="n">
        <v>0.7016</v>
      </c>
      <c r="S90" s="17" t="n">
        <v>0</v>
      </c>
      <c r="T90" s="17" t="n">
        <v>0</v>
      </c>
      <c r="U90" s="17" t="n">
        <v>0</v>
      </c>
      <c r="V90" s="17" t="n">
        <v>0</v>
      </c>
      <c r="W90" s="17" t="n">
        <v>0</v>
      </c>
      <c r="X90" s="17" t="n">
        <v>0</v>
      </c>
      <c r="Y90" s="17" t="n">
        <v>0</v>
      </c>
    </row>
    <row r="91" customFormat="false" ht="15" hidden="false" customHeight="true" outlineLevel="0" collapsed="false">
      <c r="A91" s="10" t="s">
        <v>194</v>
      </c>
      <c r="C91" s="17" t="n">
        <v>0</v>
      </c>
      <c r="D91" s="17" t="n">
        <v>0</v>
      </c>
      <c r="E91" s="17" t="n">
        <v>0</v>
      </c>
      <c r="F91" s="17" t="n">
        <v>0</v>
      </c>
      <c r="G91" s="17" t="n">
        <v>0</v>
      </c>
      <c r="H91" s="17" t="n">
        <v>0</v>
      </c>
      <c r="I91" s="17" t="n">
        <v>0</v>
      </c>
      <c r="J91" s="17" t="n">
        <v>0</v>
      </c>
      <c r="K91" s="17" t="n">
        <v>0</v>
      </c>
      <c r="L91" s="17" t="n">
        <v>0</v>
      </c>
      <c r="M91" s="17" t="n">
        <v>0</v>
      </c>
      <c r="N91" s="17" t="n">
        <v>0</v>
      </c>
      <c r="O91" s="17" t="n">
        <v>0</v>
      </c>
      <c r="P91" s="17" t="n">
        <v>0</v>
      </c>
      <c r="Q91" s="17" t="n">
        <v>0</v>
      </c>
      <c r="R91" s="17" t="n">
        <v>0</v>
      </c>
      <c r="S91" s="17" t="n">
        <v>0</v>
      </c>
      <c r="T91" s="17" t="n">
        <v>0</v>
      </c>
      <c r="U91" s="17" t="n">
        <v>0</v>
      </c>
      <c r="V91" s="17" t="n">
        <v>0</v>
      </c>
      <c r="W91" s="17" t="n">
        <v>0</v>
      </c>
      <c r="X91" s="17" t="n">
        <v>0</v>
      </c>
      <c r="Y91" s="17" t="n">
        <v>0</v>
      </c>
    </row>
    <row r="92" customFormat="false" ht="15" hidden="false" customHeight="true" outlineLevel="0" collapsed="false">
      <c r="A92" s="10" t="s">
        <v>195</v>
      </c>
      <c r="C92" s="17" t="n">
        <v>0.6988</v>
      </c>
      <c r="D92" s="17" t="n">
        <v>0.7966</v>
      </c>
      <c r="E92" s="17" t="n">
        <v>0.9082</v>
      </c>
      <c r="F92" s="17" t="n">
        <v>1.0353</v>
      </c>
      <c r="G92" s="17" t="n">
        <v>1.1802</v>
      </c>
      <c r="H92" s="17" t="n">
        <v>1.3455</v>
      </c>
      <c r="I92" s="17" t="n">
        <v>1.5339</v>
      </c>
      <c r="J92" s="17" t="n">
        <v>1.7486</v>
      </c>
      <c r="K92" s="17" t="n">
        <v>1.9934</v>
      </c>
      <c r="L92" s="17" t="n">
        <v>0</v>
      </c>
      <c r="M92" s="17" t="n">
        <v>0</v>
      </c>
      <c r="N92" s="17" t="n">
        <v>0</v>
      </c>
      <c r="O92" s="17" t="n">
        <v>0</v>
      </c>
      <c r="P92" s="17" t="n">
        <v>0</v>
      </c>
      <c r="Q92" s="17" t="n">
        <v>0</v>
      </c>
      <c r="R92" s="17" t="n">
        <v>0</v>
      </c>
      <c r="S92" s="17" t="n">
        <v>0</v>
      </c>
      <c r="T92" s="17" t="n">
        <v>0</v>
      </c>
      <c r="U92" s="17" t="n">
        <v>0</v>
      </c>
      <c r="V92" s="17" t="n">
        <v>0</v>
      </c>
      <c r="W92" s="17" t="n">
        <v>0</v>
      </c>
      <c r="X92" s="17" t="n">
        <v>0</v>
      </c>
      <c r="Y92" s="17" t="n">
        <v>0</v>
      </c>
    </row>
    <row r="94" customFormat="false" ht="15" hidden="false" customHeight="true" outlineLevel="0" collapsed="false">
      <c r="A94" s="34" t="s">
        <v>106</v>
      </c>
    </row>
    <row r="95" customFormat="false" ht="15" hidden="false" customHeight="true" outlineLevel="0" collapsed="false">
      <c r="A95" s="10" t="s">
        <v>189</v>
      </c>
      <c r="C95" s="17" t="n">
        <v>6.4271</v>
      </c>
      <c r="D95" s="17" t="n">
        <v>7.3269</v>
      </c>
      <c r="E95" s="17" t="n">
        <v>8.3526</v>
      </c>
      <c r="F95" s="17" t="n">
        <v>9.522</v>
      </c>
      <c r="G95" s="17" t="n">
        <v>10.8551</v>
      </c>
      <c r="H95" s="17" t="n">
        <v>12.3748</v>
      </c>
      <c r="I95" s="17" t="n">
        <v>14.1073</v>
      </c>
      <c r="J95" s="17" t="n">
        <v>16.0823</v>
      </c>
      <c r="K95" s="17" t="n">
        <v>0</v>
      </c>
      <c r="L95" s="17" t="n">
        <v>0</v>
      </c>
      <c r="M95" s="17" t="n">
        <v>0</v>
      </c>
      <c r="N95" s="17" t="n">
        <v>0</v>
      </c>
      <c r="O95" s="17" t="n">
        <v>0</v>
      </c>
      <c r="P95" s="17" t="n">
        <v>0</v>
      </c>
      <c r="Q95" s="17" t="n">
        <v>0</v>
      </c>
      <c r="R95" s="17" t="n">
        <v>0</v>
      </c>
      <c r="S95" s="17" t="n">
        <v>0</v>
      </c>
      <c r="T95" s="17" t="n">
        <v>0</v>
      </c>
      <c r="U95" s="17" t="n">
        <v>0</v>
      </c>
      <c r="V95" s="17" t="n">
        <v>0</v>
      </c>
      <c r="W95" s="17" t="n">
        <v>0</v>
      </c>
      <c r="X95" s="17" t="n">
        <v>0</v>
      </c>
      <c r="Y95" s="17" t="n">
        <v>0</v>
      </c>
    </row>
    <row r="96" customFormat="false" ht="15" hidden="false" customHeight="true" outlineLevel="0" collapsed="false">
      <c r="A96" s="10" t="s">
        <v>190</v>
      </c>
      <c r="C96" s="17" t="n">
        <v>0.6427</v>
      </c>
      <c r="D96" s="17" t="n">
        <v>1.4557</v>
      </c>
      <c r="E96" s="17" t="n">
        <v>2.3826</v>
      </c>
      <c r="F96" s="17" t="n">
        <v>3.4392</v>
      </c>
      <c r="G96" s="17" t="n">
        <v>4.6437</v>
      </c>
      <c r="H96" s="17" t="n">
        <v>6.0169</v>
      </c>
      <c r="I96" s="17" t="n">
        <v>7.5823</v>
      </c>
      <c r="J96" s="17" t="n">
        <v>9.3669</v>
      </c>
      <c r="K96" s="17" t="n">
        <v>9.5679</v>
      </c>
      <c r="L96" s="17" t="n">
        <v>8.8449</v>
      </c>
      <c r="M96" s="17" t="n">
        <v>8.0206</v>
      </c>
      <c r="N96" s="17" t="n">
        <v>7.0809</v>
      </c>
      <c r="O96" s="17" t="n">
        <v>6.0097</v>
      </c>
      <c r="P96" s="17" t="n">
        <v>4.7885</v>
      </c>
      <c r="Q96" s="17" t="n">
        <v>3.3963</v>
      </c>
      <c r="R96" s="17" t="n">
        <v>1.8093</v>
      </c>
      <c r="S96" s="17" t="n">
        <v>0</v>
      </c>
      <c r="T96" s="17" t="n">
        <v>0</v>
      </c>
      <c r="U96" s="17" t="n">
        <v>0</v>
      </c>
      <c r="V96" s="17" t="n">
        <v>0</v>
      </c>
      <c r="W96" s="17" t="n">
        <v>0</v>
      </c>
      <c r="X96" s="17" t="n">
        <v>0</v>
      </c>
      <c r="Y96" s="17" t="n">
        <v>0</v>
      </c>
    </row>
    <row r="97" customFormat="false" ht="15" hidden="false" customHeight="true" outlineLevel="0" collapsed="false">
      <c r="A97" s="10" t="s">
        <v>191</v>
      </c>
      <c r="C97" s="17" t="n">
        <v>0.9182</v>
      </c>
      <c r="D97" s="17" t="n">
        <v>1.9649</v>
      </c>
      <c r="E97" s="17" t="n">
        <v>3.1581</v>
      </c>
      <c r="F97" s="17" t="n">
        <v>4.5184</v>
      </c>
      <c r="G97" s="17" t="n">
        <v>6.0691</v>
      </c>
      <c r="H97" s="17" t="n">
        <v>7.8369</v>
      </c>
      <c r="I97" s="17" t="n">
        <v>9.8522</v>
      </c>
      <c r="J97" s="17" t="n">
        <v>11.2316</v>
      </c>
      <c r="K97" s="17" t="n">
        <v>10.1849</v>
      </c>
      <c r="L97" s="17" t="n">
        <v>8.9916</v>
      </c>
      <c r="M97" s="17" t="n">
        <v>7.6313</v>
      </c>
      <c r="N97" s="17" t="n">
        <v>6.0806</v>
      </c>
      <c r="O97" s="17" t="n">
        <v>4.3128</v>
      </c>
      <c r="P97" s="17" t="n">
        <v>2.2975</v>
      </c>
      <c r="Q97" s="17" t="n">
        <v>0</v>
      </c>
      <c r="R97" s="17" t="n">
        <v>0</v>
      </c>
      <c r="S97" s="17" t="n">
        <v>0</v>
      </c>
      <c r="T97" s="17" t="n">
        <v>0</v>
      </c>
      <c r="U97" s="17" t="n">
        <v>0</v>
      </c>
      <c r="V97" s="17" t="n">
        <v>0</v>
      </c>
      <c r="W97" s="17" t="n">
        <v>0</v>
      </c>
      <c r="X97" s="17" t="n">
        <v>0</v>
      </c>
      <c r="Y97" s="17" t="n">
        <v>0</v>
      </c>
    </row>
    <row r="98" customFormat="false" ht="15" hidden="false" customHeight="true" outlineLevel="0" collapsed="false">
      <c r="A98" s="10" t="s">
        <v>192</v>
      </c>
      <c r="C98" s="17" t="n">
        <v>0.7854</v>
      </c>
      <c r="D98" s="17" t="n">
        <v>1.6808</v>
      </c>
      <c r="E98" s="17" t="n">
        <v>2.7015</v>
      </c>
      <c r="F98" s="17" t="n">
        <v>3.8651</v>
      </c>
      <c r="G98" s="17" t="n">
        <v>5.1916</v>
      </c>
      <c r="H98" s="17" t="n">
        <v>6.7038</v>
      </c>
      <c r="I98" s="17" t="n">
        <v>8.4277</v>
      </c>
      <c r="J98" s="17" t="n">
        <v>9.6076</v>
      </c>
      <c r="K98" s="17" t="n">
        <v>8.7123</v>
      </c>
      <c r="L98" s="17" t="n">
        <v>7.6915</v>
      </c>
      <c r="M98" s="17" t="n">
        <v>6.5279</v>
      </c>
      <c r="N98" s="17" t="n">
        <v>5.2014</v>
      </c>
      <c r="O98" s="17" t="n">
        <v>3.6892</v>
      </c>
      <c r="P98" s="17" t="n">
        <v>1.9653</v>
      </c>
      <c r="Q98" s="17" t="n">
        <v>0</v>
      </c>
      <c r="R98" s="17" t="n">
        <v>0</v>
      </c>
      <c r="S98" s="17" t="n">
        <v>0</v>
      </c>
      <c r="T98" s="17" t="n">
        <v>0</v>
      </c>
      <c r="U98" s="17" t="n">
        <v>0</v>
      </c>
      <c r="V98" s="17" t="n">
        <v>0</v>
      </c>
      <c r="W98" s="17" t="n">
        <v>0</v>
      </c>
      <c r="X98" s="17" t="n">
        <v>0</v>
      </c>
      <c r="Y98" s="17" t="n">
        <v>0</v>
      </c>
    </row>
    <row r="99" customFormat="false" ht="15" hidden="false" customHeight="true" outlineLevel="0" collapsed="false">
      <c r="A99" s="10" t="s">
        <v>193</v>
      </c>
      <c r="C99" s="17" t="n">
        <v>0.1898</v>
      </c>
      <c r="D99" s="17" t="n">
        <v>0.4062</v>
      </c>
      <c r="E99" s="17" t="n">
        <v>0.6529</v>
      </c>
      <c r="F99" s="17" t="n">
        <v>0.9341</v>
      </c>
      <c r="G99" s="17" t="n">
        <v>1.2547</v>
      </c>
      <c r="H99" s="17" t="n">
        <v>1.6202</v>
      </c>
      <c r="I99" s="17" t="n">
        <v>2.0368</v>
      </c>
      <c r="J99" s="17" t="n">
        <v>2.322</v>
      </c>
      <c r="K99" s="17" t="n">
        <v>2.1056</v>
      </c>
      <c r="L99" s="17" t="n">
        <v>1.8589</v>
      </c>
      <c r="M99" s="17" t="n">
        <v>1.5777</v>
      </c>
      <c r="N99" s="17" t="n">
        <v>1.2571</v>
      </c>
      <c r="O99" s="17" t="n">
        <v>0.8916</v>
      </c>
      <c r="P99" s="17" t="n">
        <v>0.475</v>
      </c>
      <c r="Q99" s="17" t="n">
        <v>0</v>
      </c>
      <c r="R99" s="17" t="n">
        <v>0</v>
      </c>
      <c r="S99" s="17" t="n">
        <v>0</v>
      </c>
      <c r="T99" s="17" t="n">
        <v>0</v>
      </c>
      <c r="U99" s="17" t="n">
        <v>0</v>
      </c>
      <c r="V99" s="17" t="n">
        <v>0</v>
      </c>
      <c r="W99" s="17" t="n">
        <v>0</v>
      </c>
      <c r="X99" s="17" t="n">
        <v>0</v>
      </c>
      <c r="Y99" s="17" t="n">
        <v>0</v>
      </c>
    </row>
    <row r="100" customFormat="false" ht="15" hidden="false" customHeight="true" outlineLevel="0" collapsed="false">
      <c r="A100" s="10" t="s">
        <v>194</v>
      </c>
      <c r="C100" s="17" t="n">
        <v>0</v>
      </c>
      <c r="D100" s="17" t="n">
        <v>0</v>
      </c>
      <c r="E100" s="17" t="n">
        <v>0</v>
      </c>
      <c r="F100" s="17" t="n">
        <v>0</v>
      </c>
      <c r="G100" s="17" t="n">
        <v>0</v>
      </c>
      <c r="H100" s="17" t="n">
        <v>0</v>
      </c>
      <c r="I100" s="17" t="n">
        <v>0</v>
      </c>
      <c r="J100" s="17" t="n">
        <v>0</v>
      </c>
      <c r="K100" s="17" t="n">
        <v>0</v>
      </c>
      <c r="L100" s="17" t="n">
        <v>0</v>
      </c>
      <c r="M100" s="17" t="n">
        <v>0</v>
      </c>
      <c r="N100" s="17" t="n">
        <v>0</v>
      </c>
      <c r="O100" s="17" t="n">
        <v>0</v>
      </c>
      <c r="P100" s="17" t="n">
        <v>0</v>
      </c>
      <c r="Q100" s="17" t="n">
        <v>0</v>
      </c>
      <c r="R100" s="17" t="n">
        <v>0</v>
      </c>
      <c r="S100" s="17" t="n">
        <v>0</v>
      </c>
      <c r="T100" s="17" t="n">
        <v>0</v>
      </c>
      <c r="U100" s="17" t="n">
        <v>0</v>
      </c>
      <c r="V100" s="17" t="n">
        <v>0</v>
      </c>
      <c r="W100" s="17" t="n">
        <v>0</v>
      </c>
      <c r="X100" s="17" t="n">
        <v>0</v>
      </c>
      <c r="Y100" s="17" t="n">
        <v>0</v>
      </c>
    </row>
    <row r="101" customFormat="false" ht="15" hidden="false" customHeight="true" outlineLevel="0" collapsed="false">
      <c r="A101" s="10" t="s">
        <v>195</v>
      </c>
      <c r="C101" s="17" t="n">
        <v>0.4499</v>
      </c>
      <c r="D101" s="17" t="n">
        <v>0.5129</v>
      </c>
      <c r="E101" s="17" t="n">
        <v>0.5847</v>
      </c>
      <c r="F101" s="17" t="n">
        <v>0.6665</v>
      </c>
      <c r="G101" s="17" t="n">
        <v>0.7599</v>
      </c>
      <c r="H101" s="17" t="n">
        <v>0.8662</v>
      </c>
      <c r="I101" s="17" t="n">
        <v>0.9875</v>
      </c>
      <c r="J101" s="17" t="n">
        <v>1.1258</v>
      </c>
      <c r="K101" s="17" t="n">
        <v>0</v>
      </c>
      <c r="L101" s="17" t="n">
        <v>0</v>
      </c>
      <c r="M101" s="17" t="n">
        <v>0</v>
      </c>
      <c r="N101" s="17" t="n">
        <v>0</v>
      </c>
      <c r="O101" s="17" t="n">
        <v>0</v>
      </c>
      <c r="P101" s="17" t="n">
        <v>0</v>
      </c>
      <c r="Q101" s="17" t="n">
        <v>0</v>
      </c>
      <c r="R101" s="17" t="n">
        <v>0</v>
      </c>
      <c r="S101" s="17" t="n">
        <v>0</v>
      </c>
      <c r="T101" s="17" t="n">
        <v>0</v>
      </c>
      <c r="U101" s="17" t="n">
        <v>0</v>
      </c>
      <c r="V101" s="17" t="n">
        <v>0</v>
      </c>
      <c r="W101" s="17" t="n">
        <v>0</v>
      </c>
      <c r="X101" s="17" t="n">
        <v>0</v>
      </c>
      <c r="Y101" s="17" t="n">
        <v>0</v>
      </c>
    </row>
    <row r="103" customFormat="false" ht="15" hidden="false" customHeight="true" outlineLevel="0" collapsed="false">
      <c r="A103" s="34" t="s">
        <v>108</v>
      </c>
    </row>
    <row r="104" customFormat="false" ht="15" hidden="false" customHeight="true" outlineLevel="0" collapsed="false">
      <c r="A104" s="10" t="s">
        <v>189</v>
      </c>
      <c r="C104" s="17" t="n">
        <v>0</v>
      </c>
      <c r="D104" s="17" t="n">
        <v>0</v>
      </c>
      <c r="E104" s="17" t="n">
        <v>12.859</v>
      </c>
      <c r="F104" s="17" t="n">
        <v>14.6593</v>
      </c>
      <c r="G104" s="17" t="n">
        <v>16.7116</v>
      </c>
      <c r="H104" s="17" t="n">
        <v>19.0512</v>
      </c>
      <c r="I104" s="17" t="n">
        <v>21.7183</v>
      </c>
      <c r="J104" s="17" t="n">
        <v>24.7589</v>
      </c>
      <c r="K104" s="17" t="n">
        <v>28.2252</v>
      </c>
      <c r="L104" s="17" t="n">
        <v>32.1767</v>
      </c>
      <c r="M104" s="17" t="n">
        <v>36.6814</v>
      </c>
      <c r="N104" s="17" t="n">
        <v>41.8168</v>
      </c>
      <c r="O104" s="17" t="n">
        <v>0</v>
      </c>
      <c r="P104" s="17" t="n">
        <v>0</v>
      </c>
      <c r="Q104" s="17" t="n">
        <v>0</v>
      </c>
      <c r="R104" s="17" t="n">
        <v>0</v>
      </c>
      <c r="S104" s="17" t="n">
        <v>0</v>
      </c>
      <c r="T104" s="17" t="n">
        <v>0</v>
      </c>
      <c r="U104" s="17" t="n">
        <v>0</v>
      </c>
      <c r="V104" s="17" t="n">
        <v>0</v>
      </c>
      <c r="W104" s="17" t="n">
        <v>0</v>
      </c>
      <c r="X104" s="17" t="n">
        <v>0</v>
      </c>
      <c r="Y104" s="17" t="n">
        <v>0</v>
      </c>
    </row>
    <row r="105" customFormat="false" ht="15" hidden="false" customHeight="true" outlineLevel="0" collapsed="false">
      <c r="A105" s="10" t="s">
        <v>190</v>
      </c>
      <c r="C105" s="17" t="n">
        <v>0</v>
      </c>
      <c r="D105" s="17" t="n">
        <v>0</v>
      </c>
      <c r="E105" s="17" t="n">
        <v>1.2859</v>
      </c>
      <c r="F105" s="17" t="n">
        <v>2.9126</v>
      </c>
      <c r="G105" s="17" t="n">
        <v>4.767</v>
      </c>
      <c r="H105" s="17" t="n">
        <v>6.881</v>
      </c>
      <c r="I105" s="17" t="n">
        <v>9.2909</v>
      </c>
      <c r="J105" s="17" t="n">
        <v>12.0383</v>
      </c>
      <c r="K105" s="17" t="n">
        <v>15.1703</v>
      </c>
      <c r="L105" s="17" t="n">
        <v>18.7408</v>
      </c>
      <c r="M105" s="17" t="n">
        <v>22.8111</v>
      </c>
      <c r="N105" s="17" t="n">
        <v>26.0047</v>
      </c>
      <c r="O105" s="17" t="n">
        <v>24.8783</v>
      </c>
      <c r="P105" s="17" t="n">
        <v>22.9982</v>
      </c>
      <c r="Q105" s="17" t="n">
        <v>20.8549</v>
      </c>
      <c r="R105" s="17" t="n">
        <v>18.4116</v>
      </c>
      <c r="S105" s="17" t="n">
        <v>15.6263</v>
      </c>
      <c r="T105" s="17" t="n">
        <v>12.4509</v>
      </c>
      <c r="U105" s="17" t="n">
        <v>8.831</v>
      </c>
      <c r="V105" s="17" t="n">
        <v>4.7044</v>
      </c>
      <c r="W105" s="17" t="n">
        <v>0</v>
      </c>
      <c r="X105" s="17" t="n">
        <v>0</v>
      </c>
      <c r="Y105" s="17" t="n">
        <v>0</v>
      </c>
    </row>
    <row r="106" customFormat="false" ht="15" hidden="false" customHeight="true" outlineLevel="0" collapsed="false">
      <c r="A106" s="10" t="s">
        <v>191</v>
      </c>
      <c r="C106" s="17" t="n">
        <v>0</v>
      </c>
      <c r="D106" s="17" t="n">
        <v>0</v>
      </c>
      <c r="E106" s="17" t="n">
        <v>1.2859</v>
      </c>
      <c r="F106" s="17" t="n">
        <v>2.7518</v>
      </c>
      <c r="G106" s="17" t="n">
        <v>4.423</v>
      </c>
      <c r="H106" s="17" t="n">
        <v>6.3281</v>
      </c>
      <c r="I106" s="17" t="n">
        <v>8.4999</v>
      </c>
      <c r="J106" s="17" t="n">
        <v>10.9758</v>
      </c>
      <c r="K106" s="17" t="n">
        <v>13.7983</v>
      </c>
      <c r="L106" s="17" t="n">
        <v>17.016</v>
      </c>
      <c r="M106" s="17" t="n">
        <v>20.6841</v>
      </c>
      <c r="N106" s="17" t="n">
        <v>24.8658</v>
      </c>
      <c r="O106" s="17" t="n">
        <v>23.5799</v>
      </c>
      <c r="P106" s="17" t="n">
        <v>22.114</v>
      </c>
      <c r="Q106" s="17" t="n">
        <v>20.4428</v>
      </c>
      <c r="R106" s="17" t="n">
        <v>18.5377</v>
      </c>
      <c r="S106" s="17" t="n">
        <v>16.3659</v>
      </c>
      <c r="T106" s="17" t="n">
        <v>13.89</v>
      </c>
      <c r="U106" s="17" t="n">
        <v>11.0675</v>
      </c>
      <c r="V106" s="17" t="n">
        <v>7.8498</v>
      </c>
      <c r="W106" s="17" t="n">
        <v>4.1817</v>
      </c>
      <c r="X106" s="17" t="n">
        <v>0</v>
      </c>
      <c r="Y106" s="17" t="n">
        <v>0</v>
      </c>
    </row>
    <row r="107" customFormat="false" ht="15" hidden="false" customHeight="true" outlineLevel="0" collapsed="false">
      <c r="A107" s="10" t="s">
        <v>192</v>
      </c>
      <c r="C107" s="17" t="n">
        <v>0</v>
      </c>
      <c r="D107" s="17" t="n">
        <v>0</v>
      </c>
      <c r="E107" s="17" t="n">
        <v>1.3451</v>
      </c>
      <c r="F107" s="17" t="n">
        <v>2.8785</v>
      </c>
      <c r="G107" s="17" t="n">
        <v>4.6265</v>
      </c>
      <c r="H107" s="17" t="n">
        <v>6.6193</v>
      </c>
      <c r="I107" s="17" t="n">
        <v>8.8911</v>
      </c>
      <c r="J107" s="17" t="n">
        <v>11.481</v>
      </c>
      <c r="K107" s="17" t="n">
        <v>14.4334</v>
      </c>
      <c r="L107" s="17" t="n">
        <v>17.7991</v>
      </c>
      <c r="M107" s="17" t="n">
        <v>21.6361</v>
      </c>
      <c r="N107" s="17" t="n">
        <v>26.0102</v>
      </c>
      <c r="O107" s="17" t="n">
        <v>24.6651</v>
      </c>
      <c r="P107" s="17" t="n">
        <v>23.1317</v>
      </c>
      <c r="Q107" s="17" t="n">
        <v>21.3837</v>
      </c>
      <c r="R107" s="17" t="n">
        <v>19.3909</v>
      </c>
      <c r="S107" s="17" t="n">
        <v>17.1191</v>
      </c>
      <c r="T107" s="17" t="n">
        <v>14.5293</v>
      </c>
      <c r="U107" s="17" t="n">
        <v>11.5768</v>
      </c>
      <c r="V107" s="17" t="n">
        <v>8.2111</v>
      </c>
      <c r="W107" s="17" t="n">
        <v>4.3741</v>
      </c>
      <c r="X107" s="17" t="n">
        <v>0</v>
      </c>
      <c r="Y107" s="17" t="n">
        <v>0</v>
      </c>
    </row>
    <row r="108" customFormat="false" ht="15" hidden="false" customHeight="true" outlineLevel="0" collapsed="false">
      <c r="A108" s="10" t="s">
        <v>193</v>
      </c>
      <c r="C108" s="17" t="n">
        <v>0</v>
      </c>
      <c r="D108" s="17" t="n">
        <v>0</v>
      </c>
      <c r="E108" s="17" t="n">
        <v>0.2405</v>
      </c>
      <c r="F108" s="17" t="n">
        <v>0.5147</v>
      </c>
      <c r="G108" s="17" t="n">
        <v>0.8273</v>
      </c>
      <c r="H108" s="17" t="n">
        <v>1.1836</v>
      </c>
      <c r="I108" s="17" t="n">
        <v>1.5898</v>
      </c>
      <c r="J108" s="17" t="n">
        <v>2.0529</v>
      </c>
      <c r="K108" s="17" t="n">
        <v>2.5808</v>
      </c>
      <c r="L108" s="17" t="n">
        <v>3.1826</v>
      </c>
      <c r="M108" s="17" t="n">
        <v>3.8687</v>
      </c>
      <c r="N108" s="17" t="n">
        <v>4.6508</v>
      </c>
      <c r="O108" s="17" t="n">
        <v>4.4103</v>
      </c>
      <c r="P108" s="17" t="n">
        <v>4.1361</v>
      </c>
      <c r="Q108" s="17" t="n">
        <v>3.8235</v>
      </c>
      <c r="R108" s="17" t="n">
        <v>3.4672</v>
      </c>
      <c r="S108" s="17" t="n">
        <v>3.061</v>
      </c>
      <c r="T108" s="17" t="n">
        <v>2.5979</v>
      </c>
      <c r="U108" s="17" t="n">
        <v>2.07</v>
      </c>
      <c r="V108" s="17" t="n">
        <v>1.4682</v>
      </c>
      <c r="W108" s="17" t="n">
        <v>0.7821</v>
      </c>
      <c r="X108" s="17" t="n">
        <v>0</v>
      </c>
      <c r="Y108" s="17" t="n">
        <v>0</v>
      </c>
    </row>
    <row r="109" customFormat="false" ht="15" hidden="false" customHeight="true" outlineLevel="0" collapsed="false">
      <c r="A109" s="10" t="s">
        <v>194</v>
      </c>
      <c r="C109" s="17" t="n">
        <v>0</v>
      </c>
      <c r="D109" s="17" t="n">
        <v>0</v>
      </c>
      <c r="E109" s="17" t="n">
        <v>0</v>
      </c>
      <c r="F109" s="17" t="n">
        <v>0</v>
      </c>
      <c r="G109" s="17" t="n">
        <v>0</v>
      </c>
      <c r="H109" s="17" t="n">
        <v>0</v>
      </c>
      <c r="I109" s="17" t="n">
        <v>0</v>
      </c>
      <c r="J109" s="17" t="n">
        <v>0</v>
      </c>
      <c r="K109" s="17" t="n">
        <v>0</v>
      </c>
      <c r="L109" s="17" t="n">
        <v>0</v>
      </c>
      <c r="M109" s="17" t="n">
        <v>0</v>
      </c>
      <c r="N109" s="17" t="n">
        <v>0</v>
      </c>
      <c r="O109" s="17" t="n">
        <v>0</v>
      </c>
      <c r="P109" s="17" t="n">
        <v>0</v>
      </c>
      <c r="Q109" s="17" t="n">
        <v>0</v>
      </c>
      <c r="R109" s="17" t="n">
        <v>0</v>
      </c>
      <c r="S109" s="17" t="n">
        <v>0</v>
      </c>
      <c r="T109" s="17" t="n">
        <v>0</v>
      </c>
      <c r="U109" s="17" t="n">
        <v>0</v>
      </c>
      <c r="V109" s="17" t="n">
        <v>0</v>
      </c>
      <c r="W109" s="17" t="n">
        <v>0</v>
      </c>
      <c r="X109" s="17" t="n">
        <v>0</v>
      </c>
      <c r="Y109" s="17" t="n">
        <v>0</v>
      </c>
    </row>
    <row r="110" customFormat="false" ht="15" hidden="false" customHeight="true" outlineLevel="0" collapsed="false">
      <c r="A110" s="10" t="s">
        <v>195</v>
      </c>
      <c r="C110" s="17" t="n">
        <v>0</v>
      </c>
      <c r="D110" s="17" t="n">
        <v>0</v>
      </c>
      <c r="E110" s="17" t="n">
        <v>0.9001</v>
      </c>
      <c r="F110" s="17" t="n">
        <v>1.0261</v>
      </c>
      <c r="G110" s="17" t="n">
        <v>1.1698</v>
      </c>
      <c r="H110" s="17" t="n">
        <v>1.3336</v>
      </c>
      <c r="I110" s="17" t="n">
        <v>1.5203</v>
      </c>
      <c r="J110" s="17" t="n">
        <v>1.7331</v>
      </c>
      <c r="K110" s="17" t="n">
        <v>1.9758</v>
      </c>
      <c r="L110" s="17" t="n">
        <v>2.2524</v>
      </c>
      <c r="M110" s="17" t="n">
        <v>2.5677</v>
      </c>
      <c r="N110" s="17" t="n">
        <v>2.9272</v>
      </c>
      <c r="O110" s="17" t="n">
        <v>0</v>
      </c>
      <c r="P110" s="17" t="n">
        <v>0</v>
      </c>
      <c r="Q110" s="17" t="n">
        <v>0</v>
      </c>
      <c r="R110" s="17" t="n">
        <v>0</v>
      </c>
      <c r="S110" s="17" t="n">
        <v>0</v>
      </c>
      <c r="T110" s="17" t="n">
        <v>0</v>
      </c>
      <c r="U110" s="17" t="n">
        <v>0</v>
      </c>
      <c r="V110" s="17" t="n">
        <v>0</v>
      </c>
      <c r="W110" s="17" t="n">
        <v>0</v>
      </c>
      <c r="X110" s="17" t="n">
        <v>0</v>
      </c>
      <c r="Y110" s="17" t="n">
        <v>0</v>
      </c>
    </row>
    <row r="112" customFormat="false" ht="15" hidden="false" customHeight="true" outlineLevel="0" collapsed="false">
      <c r="A112" s="34" t="s">
        <v>110</v>
      </c>
    </row>
    <row r="113" customFormat="false" ht="15" hidden="false" customHeight="true" outlineLevel="0" collapsed="false">
      <c r="A113" s="10" t="s">
        <v>189</v>
      </c>
      <c r="C113" s="17" t="n">
        <v>0</v>
      </c>
      <c r="D113" s="17" t="n">
        <v>0</v>
      </c>
      <c r="E113" s="17" t="n">
        <v>0</v>
      </c>
      <c r="F113" s="17" t="n">
        <v>0</v>
      </c>
      <c r="G113" s="17" t="n">
        <v>11.736</v>
      </c>
      <c r="H113" s="17" t="n">
        <v>13.379</v>
      </c>
      <c r="I113" s="17" t="n">
        <v>15.2521</v>
      </c>
      <c r="J113" s="17" t="n">
        <v>17.3874</v>
      </c>
      <c r="K113" s="17" t="n">
        <v>19.8216</v>
      </c>
      <c r="L113" s="17" t="n">
        <v>22.5967</v>
      </c>
      <c r="M113" s="17" t="n">
        <v>25.7602</v>
      </c>
      <c r="N113" s="17" t="n">
        <v>29.3666</v>
      </c>
      <c r="O113" s="17" t="n">
        <v>0</v>
      </c>
      <c r="P113" s="17" t="n">
        <v>0</v>
      </c>
      <c r="Q113" s="17" t="n">
        <v>0</v>
      </c>
      <c r="R113" s="17" t="n">
        <v>0</v>
      </c>
      <c r="S113" s="17" t="n">
        <v>0</v>
      </c>
      <c r="T113" s="17" t="n">
        <v>0</v>
      </c>
      <c r="U113" s="17" t="n">
        <v>0</v>
      </c>
      <c r="V113" s="17" t="n">
        <v>0</v>
      </c>
      <c r="W113" s="17" t="n">
        <v>0</v>
      </c>
      <c r="X113" s="17" t="n">
        <v>0</v>
      </c>
      <c r="Y113" s="17" t="n">
        <v>0</v>
      </c>
    </row>
    <row r="114" customFormat="false" ht="15" hidden="false" customHeight="true" outlineLevel="0" collapsed="false">
      <c r="A114" s="10" t="s">
        <v>190</v>
      </c>
      <c r="C114" s="17" t="n">
        <v>0</v>
      </c>
      <c r="D114" s="17" t="n">
        <v>0</v>
      </c>
      <c r="E114" s="17" t="n">
        <v>0</v>
      </c>
      <c r="F114" s="17" t="n">
        <v>0</v>
      </c>
      <c r="G114" s="17" t="n">
        <v>1.1736</v>
      </c>
      <c r="H114" s="17" t="n">
        <v>2.6582</v>
      </c>
      <c r="I114" s="17" t="n">
        <v>4.3507</v>
      </c>
      <c r="J114" s="17" t="n">
        <v>6.28</v>
      </c>
      <c r="K114" s="17" t="n">
        <v>8.4796</v>
      </c>
      <c r="L114" s="17" t="n">
        <v>10.987</v>
      </c>
      <c r="M114" s="17" t="n">
        <v>13.8455</v>
      </c>
      <c r="N114" s="17" t="n">
        <v>17.1041</v>
      </c>
      <c r="O114" s="17" t="n">
        <v>17.4712</v>
      </c>
      <c r="P114" s="17" t="n">
        <v>16.1509</v>
      </c>
      <c r="Q114" s="17" t="n">
        <v>14.6458</v>
      </c>
      <c r="R114" s="17" t="n">
        <v>12.9299</v>
      </c>
      <c r="S114" s="17" t="n">
        <v>10.9738</v>
      </c>
      <c r="T114" s="17" t="n">
        <v>8.7439</v>
      </c>
      <c r="U114" s="17" t="n">
        <v>6.2018</v>
      </c>
      <c r="V114" s="17" t="n">
        <v>3.3037</v>
      </c>
      <c r="W114" s="17" t="n">
        <v>0</v>
      </c>
      <c r="X114" s="17" t="n">
        <v>0</v>
      </c>
      <c r="Y114" s="17" t="n">
        <v>0</v>
      </c>
    </row>
    <row r="115" customFormat="false" ht="15" hidden="false" customHeight="true" outlineLevel="0" collapsed="false">
      <c r="A115" s="10" t="s">
        <v>191</v>
      </c>
      <c r="C115" s="17" t="n">
        <v>0</v>
      </c>
      <c r="D115" s="17" t="n">
        <v>0</v>
      </c>
      <c r="E115" s="17" t="n">
        <v>0</v>
      </c>
      <c r="F115" s="17" t="n">
        <v>0</v>
      </c>
      <c r="G115" s="17" t="n">
        <v>1.6766</v>
      </c>
      <c r="H115" s="17" t="n">
        <v>3.5879</v>
      </c>
      <c r="I115" s="17" t="n">
        <v>5.7667</v>
      </c>
      <c r="J115" s="17" t="n">
        <v>8.2506</v>
      </c>
      <c r="K115" s="17" t="n">
        <v>11.0823</v>
      </c>
      <c r="L115" s="17" t="n">
        <v>14.3104</v>
      </c>
      <c r="M115" s="17" t="n">
        <v>17.9904</v>
      </c>
      <c r="N115" s="17" t="n">
        <v>20.5091</v>
      </c>
      <c r="O115" s="17" t="n">
        <v>18.5978</v>
      </c>
      <c r="P115" s="17" t="n">
        <v>16.4189</v>
      </c>
      <c r="Q115" s="17" t="n">
        <v>13.935</v>
      </c>
      <c r="R115" s="17" t="n">
        <v>11.1034</v>
      </c>
      <c r="S115" s="17" t="n">
        <v>7.8753</v>
      </c>
      <c r="T115" s="17" t="n">
        <v>4.1952</v>
      </c>
      <c r="U115" s="17" t="n">
        <v>0</v>
      </c>
      <c r="V115" s="17" t="n">
        <v>0</v>
      </c>
      <c r="W115" s="17" t="n">
        <v>0</v>
      </c>
      <c r="X115" s="17" t="n">
        <v>0</v>
      </c>
      <c r="Y115" s="17" t="n">
        <v>0</v>
      </c>
    </row>
    <row r="116" customFormat="false" ht="15" hidden="false" customHeight="true" outlineLevel="0" collapsed="false">
      <c r="A116" s="10" t="s">
        <v>192</v>
      </c>
      <c r="C116" s="17" t="n">
        <v>0</v>
      </c>
      <c r="D116" s="17" t="n">
        <v>0</v>
      </c>
      <c r="E116" s="17" t="n">
        <v>0</v>
      </c>
      <c r="F116" s="17" t="n">
        <v>0</v>
      </c>
      <c r="G116" s="17" t="n">
        <v>1.6847</v>
      </c>
      <c r="H116" s="17" t="n">
        <v>3.6053</v>
      </c>
      <c r="I116" s="17" t="n">
        <v>5.7947</v>
      </c>
      <c r="J116" s="17" t="n">
        <v>8.2907</v>
      </c>
      <c r="K116" s="17" t="n">
        <v>11.1361</v>
      </c>
      <c r="L116" s="17" t="n">
        <v>14.3799</v>
      </c>
      <c r="M116" s="17" t="n">
        <v>18.0778</v>
      </c>
      <c r="N116" s="17" t="n">
        <v>20.6087</v>
      </c>
      <c r="O116" s="17" t="n">
        <v>18.6881</v>
      </c>
      <c r="P116" s="17" t="n">
        <v>16.4987</v>
      </c>
      <c r="Q116" s="17" t="n">
        <v>14.0027</v>
      </c>
      <c r="R116" s="17" t="n">
        <v>11.1573</v>
      </c>
      <c r="S116" s="17" t="n">
        <v>7.9135</v>
      </c>
      <c r="T116" s="17" t="n">
        <v>4.2156</v>
      </c>
      <c r="U116" s="17" t="n">
        <v>0</v>
      </c>
      <c r="V116" s="17" t="n">
        <v>0</v>
      </c>
      <c r="W116" s="17" t="n">
        <v>0</v>
      </c>
      <c r="X116" s="17" t="n">
        <v>0</v>
      </c>
      <c r="Y116" s="17" t="n">
        <v>0</v>
      </c>
    </row>
    <row r="117" customFormat="false" ht="15" hidden="false" customHeight="true" outlineLevel="0" collapsed="false">
      <c r="A117" s="10" t="s">
        <v>193</v>
      </c>
      <c r="C117" s="17" t="n">
        <v>0</v>
      </c>
      <c r="D117" s="17" t="n">
        <v>0</v>
      </c>
      <c r="E117" s="17" t="n">
        <v>0</v>
      </c>
      <c r="F117" s="17" t="n">
        <v>0</v>
      </c>
      <c r="G117" s="17" t="n">
        <v>0.3708</v>
      </c>
      <c r="H117" s="17" t="n">
        <v>0.7934</v>
      </c>
      <c r="I117" s="17" t="n">
        <v>1.2753</v>
      </c>
      <c r="J117" s="17" t="n">
        <v>1.8246</v>
      </c>
      <c r="K117" s="17" t="n">
        <v>2.4508</v>
      </c>
      <c r="L117" s="17" t="n">
        <v>3.1647</v>
      </c>
      <c r="M117" s="17" t="n">
        <v>3.9785</v>
      </c>
      <c r="N117" s="17" t="n">
        <v>4.5355</v>
      </c>
      <c r="O117" s="17" t="n">
        <v>4.1128</v>
      </c>
      <c r="P117" s="17" t="n">
        <v>3.631</v>
      </c>
      <c r="Q117" s="17" t="n">
        <v>3.0817</v>
      </c>
      <c r="R117" s="17" t="n">
        <v>2.4555</v>
      </c>
      <c r="S117" s="17" t="n">
        <v>1.7416</v>
      </c>
      <c r="T117" s="17" t="n">
        <v>0.9278</v>
      </c>
      <c r="U117" s="17" t="n">
        <v>0</v>
      </c>
      <c r="V117" s="17" t="n">
        <v>0</v>
      </c>
      <c r="W117" s="17" t="n">
        <v>0</v>
      </c>
      <c r="X117" s="17" t="n">
        <v>0</v>
      </c>
      <c r="Y117" s="17" t="n">
        <v>0</v>
      </c>
    </row>
    <row r="118" customFormat="false" ht="15" hidden="false" customHeight="true" outlineLevel="0" collapsed="false">
      <c r="A118" s="10" t="s">
        <v>194</v>
      </c>
      <c r="C118" s="17" t="n">
        <v>0</v>
      </c>
      <c r="D118" s="17" t="n">
        <v>0</v>
      </c>
      <c r="E118" s="17" t="n">
        <v>0</v>
      </c>
      <c r="F118" s="17" t="n">
        <v>0</v>
      </c>
      <c r="G118" s="17" t="n">
        <v>0</v>
      </c>
      <c r="H118" s="17" t="n">
        <v>0</v>
      </c>
      <c r="I118" s="17" t="n">
        <v>0</v>
      </c>
      <c r="J118" s="17" t="n">
        <v>0</v>
      </c>
      <c r="K118" s="17" t="n">
        <v>0</v>
      </c>
      <c r="L118" s="17" t="n">
        <v>0</v>
      </c>
      <c r="M118" s="17" t="n">
        <v>0</v>
      </c>
      <c r="N118" s="17" t="n">
        <v>0</v>
      </c>
      <c r="O118" s="17" t="n">
        <v>0</v>
      </c>
      <c r="P118" s="17" t="n">
        <v>0</v>
      </c>
      <c r="Q118" s="17" t="n">
        <v>0</v>
      </c>
      <c r="R118" s="17" t="n">
        <v>0</v>
      </c>
      <c r="S118" s="17" t="n">
        <v>0</v>
      </c>
      <c r="T118" s="17" t="n">
        <v>0</v>
      </c>
      <c r="U118" s="17" t="n">
        <v>0</v>
      </c>
      <c r="V118" s="17" t="n">
        <v>0</v>
      </c>
      <c r="W118" s="17" t="n">
        <v>0</v>
      </c>
      <c r="X118" s="17" t="n">
        <v>0</v>
      </c>
      <c r="Y118" s="17" t="n">
        <v>0</v>
      </c>
    </row>
    <row r="119" customFormat="false" ht="15" hidden="false" customHeight="true" outlineLevel="0" collapsed="false">
      <c r="A119" s="10" t="s">
        <v>195</v>
      </c>
      <c r="C119" s="17" t="n">
        <v>0</v>
      </c>
      <c r="D119" s="17" t="n">
        <v>0</v>
      </c>
      <c r="E119" s="17" t="n">
        <v>0</v>
      </c>
      <c r="F119" s="17" t="n">
        <v>0</v>
      </c>
      <c r="G119" s="17" t="n">
        <v>0.8215</v>
      </c>
      <c r="H119" s="17" t="n">
        <v>0.9365</v>
      </c>
      <c r="I119" s="17" t="n">
        <v>1.0676</v>
      </c>
      <c r="J119" s="17" t="n">
        <v>1.2171</v>
      </c>
      <c r="K119" s="17" t="n">
        <v>1.3875</v>
      </c>
      <c r="L119" s="17" t="n">
        <v>1.5818</v>
      </c>
      <c r="M119" s="17" t="n">
        <v>1.8032</v>
      </c>
      <c r="N119" s="17" t="n">
        <v>2.0557</v>
      </c>
      <c r="O119" s="17" t="n">
        <v>0</v>
      </c>
      <c r="P119" s="17" t="n">
        <v>0</v>
      </c>
      <c r="Q119" s="17" t="n">
        <v>0</v>
      </c>
      <c r="R119" s="17" t="n">
        <v>0</v>
      </c>
      <c r="S119" s="17" t="n">
        <v>0</v>
      </c>
      <c r="T119" s="17" t="n">
        <v>0</v>
      </c>
      <c r="U119" s="17" t="n">
        <v>0</v>
      </c>
      <c r="V119" s="17" t="n">
        <v>0</v>
      </c>
      <c r="W119" s="17" t="n">
        <v>0</v>
      </c>
      <c r="X119" s="17" t="n">
        <v>0</v>
      </c>
      <c r="Y119" s="17" t="n">
        <v>0</v>
      </c>
    </row>
    <row r="121" customFormat="false" ht="15" hidden="false" customHeight="true" outlineLevel="0" collapsed="false">
      <c r="A121" s="34" t="s">
        <v>197</v>
      </c>
    </row>
    <row r="122" customFormat="false" ht="15" hidden="false" customHeight="true" outlineLevel="0" collapsed="false">
      <c r="A122" s="10" t="s">
        <v>189</v>
      </c>
      <c r="C122" s="17" t="n">
        <v>0</v>
      </c>
      <c r="D122" s="17" t="n">
        <v>0</v>
      </c>
      <c r="E122" s="17" t="n">
        <v>0</v>
      </c>
      <c r="F122" s="17" t="n">
        <v>0</v>
      </c>
      <c r="G122" s="17" t="n">
        <v>0</v>
      </c>
      <c r="H122" s="17" t="n">
        <v>0</v>
      </c>
      <c r="I122" s="17" t="n">
        <v>0</v>
      </c>
      <c r="J122" s="17" t="n">
        <v>0</v>
      </c>
      <c r="K122" s="17" t="n">
        <v>0</v>
      </c>
      <c r="L122" s="17" t="n">
        <v>0</v>
      </c>
      <c r="M122" s="17" t="n">
        <v>0</v>
      </c>
      <c r="N122" s="17" t="n">
        <v>0</v>
      </c>
      <c r="O122" s="17" t="n">
        <v>0</v>
      </c>
      <c r="P122" s="17" t="n">
        <v>0</v>
      </c>
      <c r="Q122" s="17" t="n">
        <v>0</v>
      </c>
      <c r="R122" s="17" t="n">
        <v>0</v>
      </c>
      <c r="S122" s="17" t="n">
        <v>0</v>
      </c>
      <c r="T122" s="17" t="n">
        <v>0</v>
      </c>
      <c r="U122" s="17" t="n">
        <v>0</v>
      </c>
      <c r="V122" s="17" t="n">
        <v>0</v>
      </c>
      <c r="W122" s="17" t="n">
        <v>0</v>
      </c>
      <c r="X122" s="17" t="n">
        <v>0</v>
      </c>
      <c r="Y122" s="17" t="n">
        <v>0</v>
      </c>
    </row>
    <row r="123" customFormat="false" ht="15" hidden="false" customHeight="true" outlineLevel="0" collapsed="false">
      <c r="A123" s="10" t="s">
        <v>190</v>
      </c>
      <c r="C123" s="17" t="n">
        <v>45.79</v>
      </c>
      <c r="D123" s="17" t="n">
        <v>45.79</v>
      </c>
      <c r="E123" s="17" t="n">
        <v>45.79</v>
      </c>
      <c r="F123" s="17" t="n">
        <v>45.79</v>
      </c>
      <c r="G123" s="17" t="n">
        <v>45.79</v>
      </c>
      <c r="H123" s="17" t="n">
        <v>45.79</v>
      </c>
      <c r="I123" s="17" t="n">
        <v>45.79</v>
      </c>
      <c r="J123" s="17" t="n">
        <v>0</v>
      </c>
      <c r="K123" s="17" t="n">
        <v>0</v>
      </c>
      <c r="L123" s="17" t="n">
        <v>0</v>
      </c>
      <c r="M123" s="17" t="n">
        <v>0</v>
      </c>
      <c r="N123" s="17" t="n">
        <v>0</v>
      </c>
      <c r="O123" s="17" t="n">
        <v>0</v>
      </c>
      <c r="P123" s="17" t="n">
        <v>0</v>
      </c>
      <c r="Q123" s="17" t="n">
        <v>0</v>
      </c>
      <c r="R123" s="17" t="n">
        <v>0</v>
      </c>
      <c r="S123" s="17" t="n">
        <v>0</v>
      </c>
      <c r="T123" s="17" t="n">
        <v>0</v>
      </c>
      <c r="U123" s="17" t="n">
        <v>0</v>
      </c>
      <c r="V123" s="17" t="n">
        <v>0</v>
      </c>
      <c r="W123" s="17" t="n">
        <v>0</v>
      </c>
      <c r="X123" s="17" t="n">
        <v>0</v>
      </c>
      <c r="Y123" s="17" t="n">
        <v>0</v>
      </c>
    </row>
    <row r="124" customFormat="false" ht="15" hidden="false" customHeight="true" outlineLevel="0" collapsed="false">
      <c r="A124" s="10" t="s">
        <v>191</v>
      </c>
      <c r="C124" s="17" t="n">
        <v>65.4143</v>
      </c>
      <c r="D124" s="17" t="n">
        <v>65.4143</v>
      </c>
      <c r="E124" s="17" t="n">
        <v>65.4143</v>
      </c>
      <c r="F124" s="17" t="n">
        <v>65.4143</v>
      </c>
      <c r="G124" s="17" t="n">
        <v>65.4143</v>
      </c>
      <c r="H124" s="17" t="n">
        <v>65.4143</v>
      </c>
      <c r="I124" s="17" t="n">
        <v>65.4143</v>
      </c>
      <c r="J124" s="17" t="n">
        <v>0</v>
      </c>
      <c r="K124" s="17" t="n">
        <v>0</v>
      </c>
      <c r="L124" s="17" t="n">
        <v>0</v>
      </c>
      <c r="M124" s="17" t="n">
        <v>0</v>
      </c>
      <c r="N124" s="17" t="n">
        <v>0</v>
      </c>
      <c r="O124" s="17" t="n">
        <v>0</v>
      </c>
      <c r="P124" s="17" t="n">
        <v>0</v>
      </c>
      <c r="Q124" s="17" t="n">
        <v>0</v>
      </c>
      <c r="R124" s="17" t="n">
        <v>0</v>
      </c>
      <c r="S124" s="17" t="n">
        <v>0</v>
      </c>
      <c r="T124" s="17" t="n">
        <v>0</v>
      </c>
      <c r="U124" s="17" t="n">
        <v>0</v>
      </c>
      <c r="V124" s="17" t="n">
        <v>0</v>
      </c>
      <c r="W124" s="17" t="n">
        <v>0</v>
      </c>
      <c r="X124" s="17" t="n">
        <v>0</v>
      </c>
      <c r="Y124" s="17" t="n">
        <v>0</v>
      </c>
    </row>
    <row r="125" customFormat="false" ht="15" hidden="false" customHeight="true" outlineLevel="0" collapsed="false">
      <c r="A125" s="10" t="s">
        <v>192</v>
      </c>
      <c r="C125" s="17" t="n">
        <v>39.2486</v>
      </c>
      <c r="D125" s="17" t="n">
        <v>39.2486</v>
      </c>
      <c r="E125" s="17" t="n">
        <v>39.2486</v>
      </c>
      <c r="F125" s="17" t="n">
        <v>39.2486</v>
      </c>
      <c r="G125" s="17" t="n">
        <v>39.2486</v>
      </c>
      <c r="H125" s="17" t="n">
        <v>39.2486</v>
      </c>
      <c r="I125" s="17" t="n">
        <v>39.2486</v>
      </c>
      <c r="J125" s="17" t="n">
        <v>0</v>
      </c>
      <c r="K125" s="17" t="n">
        <v>0</v>
      </c>
      <c r="L125" s="17" t="n">
        <v>0</v>
      </c>
      <c r="M125" s="17" t="n">
        <v>0</v>
      </c>
      <c r="N125" s="17" t="n">
        <v>0</v>
      </c>
      <c r="O125" s="17" t="n">
        <v>0</v>
      </c>
      <c r="P125" s="17" t="n">
        <v>0</v>
      </c>
      <c r="Q125" s="17" t="n">
        <v>0</v>
      </c>
      <c r="R125" s="17" t="n">
        <v>0</v>
      </c>
      <c r="S125" s="17" t="n">
        <v>0</v>
      </c>
      <c r="T125" s="17" t="n">
        <v>0</v>
      </c>
      <c r="U125" s="17" t="n">
        <v>0</v>
      </c>
      <c r="V125" s="17" t="n">
        <v>0</v>
      </c>
      <c r="W125" s="17" t="n">
        <v>0</v>
      </c>
      <c r="X125" s="17" t="n">
        <v>0</v>
      </c>
      <c r="Y125" s="17" t="n">
        <v>0</v>
      </c>
    </row>
    <row r="126" customFormat="false" ht="15" hidden="false" customHeight="true" outlineLevel="0" collapsed="false">
      <c r="A126" s="10" t="s">
        <v>193</v>
      </c>
      <c r="C126" s="17" t="n">
        <v>27.474</v>
      </c>
      <c r="D126" s="17" t="n">
        <v>27.474</v>
      </c>
      <c r="E126" s="17" t="n">
        <v>27.474</v>
      </c>
      <c r="F126" s="17" t="n">
        <v>27.474</v>
      </c>
      <c r="G126" s="17" t="n">
        <v>27.474</v>
      </c>
      <c r="H126" s="17" t="n">
        <v>27.474</v>
      </c>
      <c r="I126" s="17" t="n">
        <v>27.474</v>
      </c>
      <c r="J126" s="17" t="n">
        <v>0</v>
      </c>
      <c r="K126" s="17" t="n">
        <v>0</v>
      </c>
      <c r="L126" s="17" t="n">
        <v>0</v>
      </c>
      <c r="M126" s="17" t="n">
        <v>0</v>
      </c>
      <c r="N126" s="17" t="n">
        <v>0</v>
      </c>
      <c r="O126" s="17" t="n">
        <v>0</v>
      </c>
      <c r="P126" s="17" t="n">
        <v>0</v>
      </c>
      <c r="Q126" s="17" t="n">
        <v>0</v>
      </c>
      <c r="R126" s="17" t="n">
        <v>0</v>
      </c>
      <c r="S126" s="17" t="n">
        <v>0</v>
      </c>
      <c r="T126" s="17" t="n">
        <v>0</v>
      </c>
      <c r="U126" s="17" t="n">
        <v>0</v>
      </c>
      <c r="V126" s="17" t="n">
        <v>0</v>
      </c>
      <c r="W126" s="17" t="n">
        <v>0</v>
      </c>
      <c r="X126" s="17" t="n">
        <v>0</v>
      </c>
      <c r="Y126" s="17" t="n">
        <v>0</v>
      </c>
    </row>
    <row r="127" customFormat="false" ht="15" hidden="false" customHeight="true" outlineLevel="0" collapsed="false">
      <c r="A127" s="10" t="s">
        <v>194</v>
      </c>
      <c r="C127" s="17" t="n">
        <v>0</v>
      </c>
      <c r="D127" s="17" t="n">
        <v>0</v>
      </c>
      <c r="E127" s="17" t="n">
        <v>0</v>
      </c>
      <c r="F127" s="17" t="n">
        <v>0</v>
      </c>
      <c r="G127" s="17" t="n">
        <v>0</v>
      </c>
      <c r="H127" s="17" t="n">
        <v>0</v>
      </c>
      <c r="I127" s="17" t="n">
        <v>0</v>
      </c>
      <c r="J127" s="17" t="n">
        <v>0</v>
      </c>
      <c r="K127" s="17" t="n">
        <v>0</v>
      </c>
      <c r="L127" s="17" t="n">
        <v>0</v>
      </c>
      <c r="M127" s="17" t="n">
        <v>0</v>
      </c>
      <c r="N127" s="17" t="n">
        <v>0</v>
      </c>
      <c r="O127" s="17" t="n">
        <v>0</v>
      </c>
      <c r="P127" s="17" t="n">
        <v>0</v>
      </c>
      <c r="Q127" s="17" t="n">
        <v>0</v>
      </c>
      <c r="R127" s="17" t="n">
        <v>0</v>
      </c>
      <c r="S127" s="17" t="n">
        <v>0</v>
      </c>
      <c r="T127" s="17" t="n">
        <v>0</v>
      </c>
      <c r="U127" s="17" t="n">
        <v>0</v>
      </c>
      <c r="V127" s="17" t="n">
        <v>0</v>
      </c>
      <c r="W127" s="17" t="n">
        <v>0</v>
      </c>
      <c r="X127" s="17" t="n">
        <v>0</v>
      </c>
      <c r="Y127" s="17" t="n">
        <v>0</v>
      </c>
    </row>
    <row r="128" customFormat="false" ht="15" hidden="false" customHeight="true" outlineLevel="0" collapsed="false">
      <c r="A128" s="10" t="s">
        <v>195</v>
      </c>
      <c r="C128" s="17" t="n">
        <v>0</v>
      </c>
      <c r="D128" s="17" t="n">
        <v>0</v>
      </c>
      <c r="E128" s="17" t="n">
        <v>0</v>
      </c>
      <c r="F128" s="17" t="n">
        <v>0</v>
      </c>
      <c r="G128" s="17" t="n">
        <v>0</v>
      </c>
      <c r="H128" s="17" t="n">
        <v>0</v>
      </c>
      <c r="I128" s="17" t="n">
        <v>0</v>
      </c>
      <c r="J128" s="17" t="n">
        <v>0</v>
      </c>
      <c r="K128" s="17" t="n">
        <v>0</v>
      </c>
      <c r="L128" s="17" t="n">
        <v>0</v>
      </c>
      <c r="M128" s="17" t="n">
        <v>0</v>
      </c>
      <c r="N128" s="17" t="n">
        <v>0</v>
      </c>
      <c r="O128" s="17" t="n">
        <v>0</v>
      </c>
      <c r="P128" s="17" t="n">
        <v>0</v>
      </c>
      <c r="Q128" s="17" t="n">
        <v>0</v>
      </c>
      <c r="R128" s="17" t="n">
        <v>0</v>
      </c>
      <c r="S128" s="17" t="n">
        <v>0</v>
      </c>
      <c r="T128" s="17" t="n">
        <v>0</v>
      </c>
      <c r="U128" s="17" t="n">
        <v>0</v>
      </c>
      <c r="V128" s="17" t="n">
        <v>0</v>
      </c>
      <c r="W128" s="17" t="n">
        <v>0</v>
      </c>
      <c r="X128" s="17" t="n">
        <v>0</v>
      </c>
      <c r="Y128" s="17" t="n">
        <v>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Y1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2"/>
    <col collapsed="false" customWidth="true" hidden="false" outlineLevel="0" max="25" min="3" style="1" width="9"/>
  </cols>
  <sheetData>
    <row r="1" customFormat="false" ht="15.75" hidden="false" customHeight="true" outlineLevel="0" collapsed="false">
      <c r="A1" s="6" t="s">
        <v>198</v>
      </c>
      <c r="B1" s="7"/>
      <c r="C1" s="7"/>
      <c r="D1" s="7"/>
      <c r="E1" s="7"/>
      <c r="F1" s="7"/>
      <c r="G1" s="7"/>
      <c r="H1" s="7"/>
      <c r="I1" s="7"/>
      <c r="J1" s="7"/>
      <c r="K1" s="7"/>
      <c r="L1" s="7"/>
      <c r="M1" s="7"/>
      <c r="N1" s="7"/>
      <c r="O1" s="7"/>
      <c r="P1" s="7"/>
      <c r="Q1" s="7"/>
      <c r="R1" s="7"/>
      <c r="S1" s="7"/>
      <c r="T1" s="7"/>
      <c r="U1" s="7"/>
      <c r="V1" s="7"/>
      <c r="W1" s="7"/>
      <c r="X1" s="7"/>
      <c r="Y1" s="7"/>
    </row>
    <row r="2" customFormat="false" ht="15" hidden="false" customHeight="true" outlineLevel="0" collapsed="false">
      <c r="A2" s="8" t="s">
        <v>199</v>
      </c>
      <c r="B2" s="7"/>
      <c r="C2" s="7"/>
      <c r="D2" s="7"/>
      <c r="E2" s="7"/>
      <c r="F2" s="7"/>
      <c r="G2" s="7"/>
      <c r="H2" s="7"/>
      <c r="I2" s="7"/>
      <c r="J2" s="7"/>
      <c r="K2" s="7"/>
      <c r="L2" s="7"/>
      <c r="M2" s="7"/>
      <c r="N2" s="7"/>
      <c r="O2" s="7"/>
      <c r="P2" s="7"/>
      <c r="Q2" s="7"/>
      <c r="R2" s="7"/>
      <c r="S2" s="7"/>
      <c r="T2" s="7"/>
      <c r="U2" s="7"/>
      <c r="V2" s="7"/>
      <c r="W2" s="7"/>
      <c r="X2" s="7"/>
      <c r="Y2" s="7"/>
    </row>
    <row r="3" customFormat="false" ht="15" hidden="false" customHeight="true" outlineLevel="0" collapsed="false">
      <c r="A3" s="27" t="s">
        <v>165</v>
      </c>
      <c r="C3" s="42" t="s">
        <v>166</v>
      </c>
      <c r="D3" s="42" t="s">
        <v>167</v>
      </c>
      <c r="E3" s="42" t="s">
        <v>168</v>
      </c>
      <c r="F3" s="42" t="s">
        <v>169</v>
      </c>
      <c r="G3" s="42" t="s">
        <v>170</v>
      </c>
      <c r="H3" s="42" t="s">
        <v>171</v>
      </c>
      <c r="I3" s="42" t="s">
        <v>172</v>
      </c>
      <c r="J3" s="42" t="s">
        <v>173</v>
      </c>
      <c r="K3" s="42" t="s">
        <v>174</v>
      </c>
      <c r="L3" s="42" t="s">
        <v>175</v>
      </c>
      <c r="M3" s="42" t="s">
        <v>176</v>
      </c>
      <c r="N3" s="42" t="s">
        <v>177</v>
      </c>
      <c r="O3" s="42" t="s">
        <v>178</v>
      </c>
      <c r="P3" s="42" t="s">
        <v>179</v>
      </c>
      <c r="Q3" s="42" t="s">
        <v>180</v>
      </c>
      <c r="R3" s="42" t="s">
        <v>181</v>
      </c>
      <c r="S3" s="42" t="s">
        <v>182</v>
      </c>
      <c r="T3" s="42" t="s">
        <v>183</v>
      </c>
      <c r="U3" s="42" t="s">
        <v>184</v>
      </c>
      <c r="V3" s="42" t="s">
        <v>185</v>
      </c>
      <c r="W3" s="42" t="s">
        <v>186</v>
      </c>
      <c r="X3" s="42" t="s">
        <v>187</v>
      </c>
      <c r="Y3" s="42" t="s">
        <v>188</v>
      </c>
    </row>
    <row r="4" customFormat="false" ht="15" hidden="false" customHeight="true" outlineLevel="0" collapsed="false">
      <c r="A4" s="10" t="s">
        <v>200</v>
      </c>
      <c r="C4" s="44" t="n">
        <f aca="false">'Project Cash Flows'!C7</f>
        <v>77.2039</v>
      </c>
      <c r="D4" s="44" t="n">
        <f aca="false">'Project Cash Flows'!D7</f>
        <v>90.644</v>
      </c>
      <c r="E4" s="44" t="n">
        <f aca="false">'Project Cash Flows'!E7</f>
        <v>107.252</v>
      </c>
      <c r="F4" s="44" t="n">
        <f aca="false">'Project Cash Flows'!F7</f>
        <v>126.1847</v>
      </c>
      <c r="G4" s="44" t="n">
        <f aca="false">'Project Cash Flows'!G7</f>
        <v>148.9635</v>
      </c>
      <c r="H4" s="44" t="n">
        <f aca="false">'Project Cash Flows'!H7</f>
        <v>170.7352</v>
      </c>
      <c r="I4" s="44" t="n">
        <f aca="false">'Project Cash Flows'!I7</f>
        <v>190.9563</v>
      </c>
      <c r="J4" s="44" t="n">
        <f aca="false">'Project Cash Flows'!J7</f>
        <v>143.9014</v>
      </c>
      <c r="K4" s="44" t="n">
        <f aca="false">'Project Cash Flows'!K7</f>
        <v>158.7654</v>
      </c>
      <c r="L4" s="44" t="n">
        <f aca="false">'Project Cash Flows'!L7</f>
        <v>162.0781</v>
      </c>
      <c r="M4" s="44" t="n">
        <f aca="false">'Project Cash Flows'!M7</f>
        <v>163.8794</v>
      </c>
      <c r="N4" s="44" t="n">
        <f aca="false">'Project Cash Flows'!N7</f>
        <v>154.8018</v>
      </c>
      <c r="O4" s="44" t="n">
        <f aca="false">'Project Cash Flows'!O7</f>
        <v>135.7405</v>
      </c>
      <c r="P4" s="44" t="n">
        <f aca="false">'Project Cash Flows'!P7</f>
        <v>117.7857</v>
      </c>
      <c r="Q4" s="44" t="n">
        <f aca="false">'Project Cash Flows'!Q7</f>
        <v>97.3171</v>
      </c>
      <c r="R4" s="44" t="n">
        <f aca="false">'Project Cash Flows'!R7</f>
        <v>76.6021</v>
      </c>
      <c r="S4" s="44" t="n">
        <f aca="false">'Project Cash Flows'!S7</f>
        <v>52.987</v>
      </c>
      <c r="T4" s="44" t="n">
        <f aca="false">'Project Cash Flows'!T7</f>
        <v>37.2739</v>
      </c>
      <c r="U4" s="44" t="n">
        <f aca="false">'Project Cash Flows'!U7</f>
        <v>19.361</v>
      </c>
      <c r="V4" s="44" t="n">
        <f aca="false">'Project Cash Flows'!V7</f>
        <v>7.8498</v>
      </c>
      <c r="W4" s="44" t="n">
        <f aca="false">'Project Cash Flows'!W7</f>
        <v>4.1817</v>
      </c>
      <c r="X4" s="44" t="n">
        <f aca="false">'Project Cash Flows'!X7</f>
        <v>0</v>
      </c>
      <c r="Y4" s="44" t="n">
        <f aca="false">'Project Cash Flows'!Y7</f>
        <v>0</v>
      </c>
    </row>
    <row r="5" customFormat="false" ht="15" hidden="false" customHeight="true" outlineLevel="0" collapsed="false">
      <c r="A5" s="10" t="s">
        <v>192</v>
      </c>
      <c r="C5" s="44" t="n">
        <f aca="false">-'Project Cash Flows'!C8</f>
        <v>-47.9366</v>
      </c>
      <c r="D5" s="44" t="n">
        <f aca="false">-'Project Cash Flows'!D8</f>
        <v>-57.8408</v>
      </c>
      <c r="E5" s="44" t="n">
        <f aca="false">-'Project Cash Flows'!E8</f>
        <v>-70.4768</v>
      </c>
      <c r="F5" s="44" t="n">
        <f aca="false">-'Project Cash Flows'!F8</f>
        <v>-84.8817</v>
      </c>
      <c r="G5" s="44" t="n">
        <f aca="false">-'Project Cash Flows'!G8</f>
        <v>-102.6101</v>
      </c>
      <c r="H5" s="44" t="n">
        <f aca="false">-'Project Cash Flows'!H8</f>
        <v>-120.6239</v>
      </c>
      <c r="I5" s="44" t="n">
        <f aca="false">-'Project Cash Flows'!I8</f>
        <v>-138.595</v>
      </c>
      <c r="J5" s="44" t="n">
        <f aca="false">-'Project Cash Flows'!J8</f>
        <v>-116.8944</v>
      </c>
      <c r="K5" s="44" t="n">
        <f aca="false">-'Project Cash Flows'!K8</f>
        <v>-131.9015</v>
      </c>
      <c r="L5" s="44" t="n">
        <f aca="false">-'Project Cash Flows'!L8</f>
        <v>-137.8988</v>
      </c>
      <c r="M5" s="44" t="n">
        <f aca="false">-'Project Cash Flows'!M8</f>
        <v>-141.7336</v>
      </c>
      <c r="N5" s="44" t="n">
        <f aca="false">-'Project Cash Flows'!N8</f>
        <v>-136.8117</v>
      </c>
      <c r="O5" s="44" t="n">
        <f aca="false">-'Project Cash Flows'!O8</f>
        <v>-121.2336</v>
      </c>
      <c r="P5" s="44" t="n">
        <f aca="false">-'Project Cash Flows'!P8</f>
        <v>-105.6289</v>
      </c>
      <c r="Q5" s="44" t="n">
        <f aca="false">-'Project Cash Flows'!Q8</f>
        <v>-87.8392</v>
      </c>
      <c r="R5" s="44" t="n">
        <f aca="false">-'Project Cash Flows'!R8</f>
        <v>-69.7995</v>
      </c>
      <c r="S5" s="44" t="n">
        <f aca="false">-'Project Cash Flows'!S8</f>
        <v>-49.234</v>
      </c>
      <c r="T5" s="44" t="n">
        <f aca="false">-'Project Cash Flows'!T8</f>
        <v>-34.7561</v>
      </c>
      <c r="U5" s="44" t="n">
        <f aca="false">-'Project Cash Flows'!U8</f>
        <v>-18.2512</v>
      </c>
      <c r="V5" s="44" t="n">
        <f aca="false">-'Project Cash Flows'!V8</f>
        <v>-8.2111</v>
      </c>
      <c r="W5" s="44" t="n">
        <f aca="false">-'Project Cash Flows'!W8</f>
        <v>-4.3741</v>
      </c>
      <c r="X5" s="44" t="n">
        <f aca="false">-'Project Cash Flows'!X8</f>
        <v>-0</v>
      </c>
      <c r="Y5" s="44" t="n">
        <f aca="false">-'Project Cash Flows'!Y8</f>
        <v>-0</v>
      </c>
    </row>
    <row r="6" customFormat="false" ht="15" hidden="false" customHeight="true" outlineLevel="0" collapsed="false">
      <c r="A6" s="38" t="s">
        <v>201</v>
      </c>
      <c r="C6" s="40" t="n">
        <f aca="false">C4+C5</f>
        <v>29.2673</v>
      </c>
      <c r="D6" s="40" t="n">
        <f aca="false">D4+D5</f>
        <v>32.8032</v>
      </c>
      <c r="E6" s="40" t="n">
        <f aca="false">E4+E5</f>
        <v>36.7752</v>
      </c>
      <c r="F6" s="40" t="n">
        <f aca="false">F4+F5</f>
        <v>41.303</v>
      </c>
      <c r="G6" s="40" t="n">
        <f aca="false">G4+G5</f>
        <v>46.3534</v>
      </c>
      <c r="H6" s="40" t="n">
        <f aca="false">H4+H5</f>
        <v>50.1113</v>
      </c>
      <c r="I6" s="40" t="n">
        <f aca="false">I4+I5</f>
        <v>52.3613</v>
      </c>
      <c r="J6" s="40" t="n">
        <f aca="false">J4+J5</f>
        <v>27.007</v>
      </c>
      <c r="K6" s="40" t="n">
        <f aca="false">K4+K5</f>
        <v>26.8639</v>
      </c>
      <c r="L6" s="40" t="n">
        <f aca="false">L4+L5</f>
        <v>24.1793</v>
      </c>
      <c r="M6" s="40" t="n">
        <f aca="false">M4+M5</f>
        <v>22.1458</v>
      </c>
      <c r="N6" s="40" t="n">
        <f aca="false">N4+N5</f>
        <v>17.9901</v>
      </c>
      <c r="O6" s="40" t="n">
        <f aca="false">O4+O5</f>
        <v>14.5069</v>
      </c>
      <c r="P6" s="40" t="n">
        <f aca="false">P4+P5</f>
        <v>12.1568</v>
      </c>
      <c r="Q6" s="40" t="n">
        <f aca="false">Q4+Q5</f>
        <v>9.47790000000001</v>
      </c>
      <c r="R6" s="40" t="n">
        <f aca="false">R4+R5</f>
        <v>6.80260000000001</v>
      </c>
      <c r="S6" s="40" t="n">
        <f aca="false">S4+S5</f>
        <v>3.75300000000001</v>
      </c>
      <c r="T6" s="40" t="n">
        <f aca="false">T4+T5</f>
        <v>2.5178</v>
      </c>
      <c r="U6" s="40" t="n">
        <f aca="false">U4+U5</f>
        <v>1.1098</v>
      </c>
      <c r="V6" s="40" t="n">
        <f aca="false">V4+V5</f>
        <v>-0.3613</v>
      </c>
      <c r="W6" s="40" t="n">
        <f aca="false">W4+W5</f>
        <v>-0.1924</v>
      </c>
      <c r="X6" s="40" t="n">
        <f aca="false">X4+X5</f>
        <v>0</v>
      </c>
      <c r="Y6" s="40" t="n">
        <f aca="false">Y4+Y5</f>
        <v>0</v>
      </c>
    </row>
    <row r="7" customFormat="false" ht="15" hidden="false" customHeight="true" outlineLevel="0" collapsed="false">
      <c r="A7" s="10" t="s">
        <v>202</v>
      </c>
      <c r="C7" s="16" t="n">
        <f aca="false">IF(C4=0,0,C6/C4)</f>
        <v>0.379090952659127</v>
      </c>
      <c r="D7" s="16" t="n">
        <f aca="false">IF(D4=0,0,D6/D4)</f>
        <v>0.361890472618155</v>
      </c>
      <c r="E7" s="16" t="n">
        <f aca="false">IF(E4=0,0,E6/E4)</f>
        <v>0.342885913549398</v>
      </c>
      <c r="F7" s="16" t="n">
        <f aca="false">IF(F4=0,0,F6/F4)</f>
        <v>0.327321775143896</v>
      </c>
      <c r="G7" s="16" t="n">
        <f aca="false">IF(G4=0,0,G6/G4)</f>
        <v>0.311172871206705</v>
      </c>
      <c r="H7" s="16" t="n">
        <f aca="false">IF(H4=0,0,H6/H4)</f>
        <v>0.293503038623553</v>
      </c>
      <c r="I7" s="16" t="n">
        <f aca="false">IF(I4=0,0,I6/I4)</f>
        <v>0.274205669045745</v>
      </c>
      <c r="J7" s="16" t="n">
        <f aca="false">IF(J4=0,0,J6/J4)</f>
        <v>0.187677117804274</v>
      </c>
      <c r="K7" s="16" t="n">
        <f aca="false">IF(K4=0,0,K6/K4)</f>
        <v>0.169205003105211</v>
      </c>
      <c r="L7" s="16" t="n">
        <f aca="false">IF(L4=0,0,L6/L4)</f>
        <v>0.14918301732313</v>
      </c>
      <c r="M7" s="16" t="n">
        <f aca="false">IF(M4=0,0,M6/M4)</f>
        <v>0.135134739326602</v>
      </c>
      <c r="N7" s="16" t="n">
        <f aca="false">IF(N4=0,0,N6/N4)</f>
        <v>0.116213764956221</v>
      </c>
      <c r="O7" s="16" t="n">
        <f aca="false">IF(O4=0,0,O6/O4)</f>
        <v>0.106872304139148</v>
      </c>
      <c r="P7" s="16" t="n">
        <f aca="false">IF(P4=0,0,P6/P4)</f>
        <v>0.103211170795776</v>
      </c>
      <c r="Q7" s="16" t="n">
        <f aca="false">IF(Q4=0,0,Q6/Q4)</f>
        <v>0.0973919280373131</v>
      </c>
      <c r="R7" s="16" t="n">
        <f aca="false">IF(R4=0,0,R6/R4)</f>
        <v>0.088804353927634</v>
      </c>
      <c r="S7" s="16" t="n">
        <f aca="false">IF(S4=0,0,S6/S4)</f>
        <v>0.0708286938305624</v>
      </c>
      <c r="T7" s="16" t="n">
        <f aca="false">IF(T4=0,0,T6/T4)</f>
        <v>0.0675486063975061</v>
      </c>
      <c r="U7" s="16" t="n">
        <f aca="false">IF(U4=0,0,U6/U4)</f>
        <v>0.0573214193481742</v>
      </c>
      <c r="V7" s="16" t="n">
        <f aca="false">IF(V4=0,0,V6/V4)</f>
        <v>-0.0460266503605187</v>
      </c>
      <c r="W7" s="16" t="n">
        <f aca="false">IF(W4=0,0,W6/W4)</f>
        <v>-0.0460099959346677</v>
      </c>
      <c r="X7" s="16" t="n">
        <f aca="false">IF(X4=0,0,X6/X4)</f>
        <v>0</v>
      </c>
      <c r="Y7" s="16" t="n">
        <f aca="false">IF(Y4=0,0,Y6/Y4)</f>
        <v>0</v>
      </c>
    </row>
    <row r="8" customFormat="false" ht="15" hidden="false" customHeight="true" outlineLevel="0" collapsed="false">
      <c r="A8" s="10" t="s">
        <v>195</v>
      </c>
      <c r="C8" s="44" t="n">
        <f aca="false">-'Project Cash Flows'!C11</f>
        <v>-5.3467</v>
      </c>
      <c r="D8" s="44" t="n">
        <f aca="false">-'Project Cash Flows'!D11</f>
        <v>-6.0953</v>
      </c>
      <c r="E8" s="44" t="n">
        <f aca="false">-'Project Cash Flows'!E11</f>
        <v>-7.8488</v>
      </c>
      <c r="F8" s="44" t="n">
        <f aca="false">-'Project Cash Flows'!F11</f>
        <v>-8.9476</v>
      </c>
      <c r="G8" s="44" t="n">
        <f aca="false">-'Project Cash Flows'!G11</f>
        <v>-11.0218</v>
      </c>
      <c r="H8" s="44" t="n">
        <f aca="false">-'Project Cash Flows'!H11</f>
        <v>-11.7339</v>
      </c>
      <c r="I8" s="44" t="n">
        <f aca="false">-'Project Cash Flows'!I11</f>
        <v>-12.4852</v>
      </c>
      <c r="J8" s="44" t="n">
        <f aca="false">-'Project Cash Flows'!J11</f>
        <v>-12.4212</v>
      </c>
      <c r="K8" s="44" t="n">
        <f aca="false">-'Project Cash Flows'!K11</f>
        <v>-12.8768</v>
      </c>
      <c r="L8" s="44" t="n">
        <f aca="false">-'Project Cash Flows'!L11</f>
        <v>-9.8176</v>
      </c>
      <c r="M8" s="44" t="n">
        <f aca="false">-'Project Cash Flows'!M11</f>
        <v>-8.9633</v>
      </c>
      <c r="N8" s="44" t="n">
        <f aca="false">-'Project Cash Flows'!N11</f>
        <v>-4.9829</v>
      </c>
      <c r="O8" s="44" t="n">
        <f aca="false">-'Project Cash Flows'!O11</f>
        <v>-0</v>
      </c>
      <c r="P8" s="44" t="n">
        <f aca="false">-'Project Cash Flows'!P11</f>
        <v>-0</v>
      </c>
      <c r="Q8" s="44" t="n">
        <f aca="false">-'Project Cash Flows'!Q11</f>
        <v>-0</v>
      </c>
      <c r="R8" s="44" t="n">
        <f aca="false">-'Project Cash Flows'!R11</f>
        <v>-0</v>
      </c>
      <c r="S8" s="44" t="n">
        <f aca="false">-'Project Cash Flows'!S11</f>
        <v>-0</v>
      </c>
      <c r="T8" s="44" t="n">
        <f aca="false">-'Project Cash Flows'!T11</f>
        <v>-0</v>
      </c>
      <c r="U8" s="44" t="n">
        <f aca="false">-'Project Cash Flows'!U11</f>
        <v>-0</v>
      </c>
      <c r="V8" s="44" t="n">
        <f aca="false">-'Project Cash Flows'!V11</f>
        <v>-0</v>
      </c>
      <c r="W8" s="44" t="n">
        <f aca="false">-'Project Cash Flows'!W11</f>
        <v>-0</v>
      </c>
      <c r="X8" s="44" t="n">
        <f aca="false">-'Project Cash Flows'!X11</f>
        <v>-0</v>
      </c>
      <c r="Y8" s="44" t="n">
        <f aca="false">-'Project Cash Flows'!Y11</f>
        <v>-0</v>
      </c>
    </row>
    <row r="9" customFormat="false" ht="15" hidden="false" customHeight="true" outlineLevel="0" collapsed="false">
      <c r="A9" s="10" t="s">
        <v>203</v>
      </c>
      <c r="C9" s="17" t="n">
        <f aca="false">-C4*Assumptions!$B$18</f>
        <v>-3.860195</v>
      </c>
      <c r="D9" s="17" t="n">
        <f aca="false">-D4*Assumptions!$B$18</f>
        <v>-4.5322</v>
      </c>
      <c r="E9" s="17" t="n">
        <f aca="false">-E4*Assumptions!$B$18</f>
        <v>-5.3626</v>
      </c>
      <c r="F9" s="17" t="n">
        <f aca="false">-F4*Assumptions!$B$18</f>
        <v>-6.309235</v>
      </c>
      <c r="G9" s="17" t="n">
        <f aca="false">-G4*Assumptions!$B$18</f>
        <v>-7.448175</v>
      </c>
      <c r="H9" s="17" t="n">
        <f aca="false">-H4*Assumptions!$B$18</f>
        <v>-8.53676</v>
      </c>
      <c r="I9" s="17" t="n">
        <f aca="false">-I4*Assumptions!$B$18</f>
        <v>-9.547815</v>
      </c>
      <c r="J9" s="17" t="n">
        <f aca="false">-J4*Assumptions!$B$18</f>
        <v>-7.19507</v>
      </c>
      <c r="K9" s="17" t="n">
        <f aca="false">-K4*Assumptions!$B$18</f>
        <v>-7.93827</v>
      </c>
      <c r="L9" s="17" t="n">
        <f aca="false">-L4*Assumptions!$B$18</f>
        <v>-8.103905</v>
      </c>
      <c r="M9" s="17" t="n">
        <f aca="false">-M4*Assumptions!$B$18</f>
        <v>-8.19397</v>
      </c>
      <c r="N9" s="17" t="n">
        <f aca="false">-N4*Assumptions!$B$18</f>
        <v>-7.74009</v>
      </c>
      <c r="O9" s="17" t="n">
        <f aca="false">-O4*Assumptions!$B$18</f>
        <v>-6.787025</v>
      </c>
      <c r="P9" s="17" t="n">
        <f aca="false">-P4*Assumptions!$B$18</f>
        <v>-5.889285</v>
      </c>
      <c r="Q9" s="17" t="n">
        <f aca="false">-Q4*Assumptions!$B$18</f>
        <v>-4.865855</v>
      </c>
      <c r="R9" s="17" t="n">
        <f aca="false">-R4*Assumptions!$B$18</f>
        <v>-3.830105</v>
      </c>
      <c r="S9" s="17" t="n">
        <f aca="false">-S4*Assumptions!$B$18</f>
        <v>-2.64935</v>
      </c>
      <c r="T9" s="17" t="n">
        <f aca="false">-T4*Assumptions!$B$18</f>
        <v>-1.863695</v>
      </c>
      <c r="U9" s="17" t="n">
        <f aca="false">-U4*Assumptions!$B$18</f>
        <v>-0.96805</v>
      </c>
      <c r="V9" s="17" t="n">
        <f aca="false">-V4*Assumptions!$B$18</f>
        <v>-0.39249</v>
      </c>
      <c r="W9" s="17" t="n">
        <f aca="false">-W4*Assumptions!$B$18</f>
        <v>-0.209085</v>
      </c>
      <c r="X9" s="17" t="n">
        <f aca="false">-X4*Assumptions!$B$18</f>
        <v>-0</v>
      </c>
      <c r="Y9" s="17" t="n">
        <f aca="false">-Y4*Assumptions!$B$18</f>
        <v>-0</v>
      </c>
    </row>
    <row r="10" customFormat="false" ht="15" hidden="false" customHeight="true" outlineLevel="0" collapsed="false">
      <c r="A10" s="38" t="s">
        <v>204</v>
      </c>
      <c r="C10" s="40" t="n">
        <f aca="false">C6+C8+C9</f>
        <v>20.060405</v>
      </c>
      <c r="D10" s="40" t="n">
        <f aca="false">D6+D8+D9</f>
        <v>22.1757</v>
      </c>
      <c r="E10" s="40" t="n">
        <f aca="false">E6+E8+E9</f>
        <v>23.5638</v>
      </c>
      <c r="F10" s="40" t="n">
        <f aca="false">F6+F8+F9</f>
        <v>26.046165</v>
      </c>
      <c r="G10" s="40" t="n">
        <f aca="false">G6+G8+G9</f>
        <v>27.883425</v>
      </c>
      <c r="H10" s="40" t="n">
        <f aca="false">H6+H8+H9</f>
        <v>29.84064</v>
      </c>
      <c r="I10" s="40" t="n">
        <f aca="false">I6+I8+I9</f>
        <v>30.328285</v>
      </c>
      <c r="J10" s="40" t="n">
        <f aca="false">J6+J8+J9</f>
        <v>7.39072999999999</v>
      </c>
      <c r="K10" s="40" t="n">
        <f aca="false">K6+K8+K9</f>
        <v>6.04883000000003</v>
      </c>
      <c r="L10" s="40" t="n">
        <f aca="false">L6+L8+L9</f>
        <v>6.25779499999998</v>
      </c>
      <c r="M10" s="40" t="n">
        <f aca="false">M6+M8+M9</f>
        <v>4.98853000000001</v>
      </c>
      <c r="N10" s="40" t="n">
        <f aca="false">N6+N8+N9</f>
        <v>5.26710999999998</v>
      </c>
      <c r="O10" s="40" t="n">
        <f aca="false">O6+O8+O9</f>
        <v>7.719875</v>
      </c>
      <c r="P10" s="40" t="n">
        <f aca="false">P6+P8+P9</f>
        <v>6.26751499999999</v>
      </c>
      <c r="Q10" s="40" t="n">
        <f aca="false">Q6+Q8+Q9</f>
        <v>4.61204500000001</v>
      </c>
      <c r="R10" s="40" t="n">
        <f aca="false">R6+R8+R9</f>
        <v>2.97249500000001</v>
      </c>
      <c r="S10" s="40" t="n">
        <f aca="false">S6+S8+S9</f>
        <v>1.10365000000001</v>
      </c>
      <c r="T10" s="40" t="n">
        <f aca="false">T6+T8+T9</f>
        <v>0.654105000000001</v>
      </c>
      <c r="U10" s="40" t="n">
        <f aca="false">U6+U8+U9</f>
        <v>0.14175</v>
      </c>
      <c r="V10" s="40" t="n">
        <f aca="false">V6+V8+V9</f>
        <v>-0.75379</v>
      </c>
      <c r="W10" s="40" t="n">
        <f aca="false">W6+W8+W9</f>
        <v>-0.401485</v>
      </c>
      <c r="X10" s="40" t="n">
        <f aca="false">X6+X8+X9</f>
        <v>0</v>
      </c>
      <c r="Y10" s="40" t="n">
        <f aca="false">Y6+Y8+Y9</f>
        <v>0</v>
      </c>
    </row>
    <row r="11" customFormat="false" ht="15" hidden="false" customHeight="true" outlineLevel="0" collapsed="false">
      <c r="A11" s="10" t="s">
        <v>205</v>
      </c>
      <c r="C11" s="16" t="n">
        <f aca="false">IF(C4=0,0,C10/C4)</f>
        <v>0.259836679235116</v>
      </c>
      <c r="D11" s="16" t="n">
        <f aca="false">IF(D4=0,0,D10/D4)</f>
        <v>0.244646087992586</v>
      </c>
      <c r="E11" s="16" t="n">
        <f aca="false">IF(E4=0,0,E10/E4)</f>
        <v>0.219704993846269</v>
      </c>
      <c r="F11" s="16" t="n">
        <f aca="false">IF(F4=0,0,F10/F4)</f>
        <v>0.206413019962008</v>
      </c>
      <c r="G11" s="16" t="n">
        <f aca="false">IF(G4=0,0,G10/G4)</f>
        <v>0.187182934074455</v>
      </c>
      <c r="H11" s="16" t="n">
        <f aca="false">IF(H4=0,0,H10/H4)</f>
        <v>0.17477731598405</v>
      </c>
      <c r="I11" s="16" t="n">
        <f aca="false">IF(I4=0,0,I10/I4)</f>
        <v>0.158823170536924</v>
      </c>
      <c r="J11" s="16" t="n">
        <f aca="false">IF(J4=0,0,J10/J4)</f>
        <v>0.0513596810037984</v>
      </c>
      <c r="K11" s="16" t="n">
        <f aca="false">IF(K4=0,0,K10/K4)</f>
        <v>0.0380991702222274</v>
      </c>
      <c r="L11" s="16" t="n">
        <f aca="false">IF(L4=0,0,L10/L4)</f>
        <v>0.0386097504844886</v>
      </c>
      <c r="M11" s="16" t="n">
        <f aca="false">IF(M4=0,0,M10/M4)</f>
        <v>0.0304402505745079</v>
      </c>
      <c r="N11" s="16" t="n">
        <f aca="false">IF(N4=0,0,N10/N4)</f>
        <v>0.0340248627599937</v>
      </c>
      <c r="O11" s="16" t="n">
        <f aca="false">IF(O4=0,0,O10/O4)</f>
        <v>0.0568723041391479</v>
      </c>
      <c r="P11" s="16" t="n">
        <f aca="false">IF(P4=0,0,P10/P4)</f>
        <v>0.0532111707957756</v>
      </c>
      <c r="Q11" s="16" t="n">
        <f aca="false">IF(Q4=0,0,Q10/Q4)</f>
        <v>0.0473919280373131</v>
      </c>
      <c r="R11" s="16" t="n">
        <f aca="false">IF(R4=0,0,R10/R4)</f>
        <v>0.038804353927634</v>
      </c>
      <c r="S11" s="16" t="n">
        <f aca="false">IF(S4=0,0,S10/S4)</f>
        <v>0.0208286938305623</v>
      </c>
      <c r="T11" s="16" t="n">
        <f aca="false">IF(T4=0,0,T10/T4)</f>
        <v>0.0175486063975061</v>
      </c>
      <c r="U11" s="16" t="n">
        <f aca="false">IF(U4=0,0,U10/U4)</f>
        <v>0.00732141934817416</v>
      </c>
      <c r="V11" s="16" t="n">
        <f aca="false">IF(V4=0,0,V10/V4)</f>
        <v>-0.0960266503605187</v>
      </c>
      <c r="W11" s="16" t="n">
        <f aca="false">IF(W4=0,0,W10/W4)</f>
        <v>-0.0960099959346678</v>
      </c>
      <c r="X11" s="16" t="n">
        <f aca="false">IF(X4=0,0,X10/X4)</f>
        <v>0</v>
      </c>
      <c r="Y11" s="16" t="n">
        <f aca="false">IF(Y4=0,0,Y10/Y4)</f>
        <v>0</v>
      </c>
    </row>
    <row r="12" customFormat="false" ht="15" hidden="false" customHeight="true" outlineLevel="0" collapsed="false">
      <c r="A12" s="10" t="s">
        <v>206</v>
      </c>
      <c r="C12" s="17" t="n">
        <f aca="false">-C4*Assumptions!$B$19</f>
        <v>-0.3860195</v>
      </c>
      <c r="D12" s="17" t="n">
        <f aca="false">-D4*Assumptions!$B$19</f>
        <v>-0.45322</v>
      </c>
      <c r="E12" s="17" t="n">
        <f aca="false">-E4*Assumptions!$B$19</f>
        <v>-0.53626</v>
      </c>
      <c r="F12" s="17" t="n">
        <f aca="false">-F4*Assumptions!$B$19</f>
        <v>-0.6309235</v>
      </c>
      <c r="G12" s="17" t="n">
        <f aca="false">-G4*Assumptions!$B$19</f>
        <v>-0.7448175</v>
      </c>
      <c r="H12" s="17" t="n">
        <f aca="false">-H4*Assumptions!$B$19</f>
        <v>-0.853676</v>
      </c>
      <c r="I12" s="17" t="n">
        <f aca="false">-I4*Assumptions!$B$19</f>
        <v>-0.9547815</v>
      </c>
      <c r="J12" s="17" t="n">
        <f aca="false">-J4*Assumptions!$B$19</f>
        <v>-0.719507</v>
      </c>
      <c r="K12" s="17" t="n">
        <f aca="false">-K4*Assumptions!$B$19</f>
        <v>-0.793827</v>
      </c>
      <c r="L12" s="17" t="n">
        <f aca="false">-L4*Assumptions!$B$19</f>
        <v>-0.8103905</v>
      </c>
      <c r="M12" s="17" t="n">
        <f aca="false">-M4*Assumptions!$B$19</f>
        <v>-0.819397</v>
      </c>
      <c r="N12" s="17" t="n">
        <f aca="false">-N4*Assumptions!$B$19</f>
        <v>-0.774009</v>
      </c>
      <c r="O12" s="17" t="n">
        <f aca="false">-O4*Assumptions!$B$19</f>
        <v>-0.6787025</v>
      </c>
      <c r="P12" s="17" t="n">
        <f aca="false">-P4*Assumptions!$B$19</f>
        <v>-0.5889285</v>
      </c>
      <c r="Q12" s="17" t="n">
        <f aca="false">-Q4*Assumptions!$B$19</f>
        <v>-0.4865855</v>
      </c>
      <c r="R12" s="17" t="n">
        <f aca="false">-R4*Assumptions!$B$19</f>
        <v>-0.3830105</v>
      </c>
      <c r="S12" s="17" t="n">
        <f aca="false">-S4*Assumptions!$B$19</f>
        <v>-0.264935</v>
      </c>
      <c r="T12" s="17" t="n">
        <f aca="false">-T4*Assumptions!$B$19</f>
        <v>-0.1863695</v>
      </c>
      <c r="U12" s="17" t="n">
        <f aca="false">-U4*Assumptions!$B$19</f>
        <v>-0.096805</v>
      </c>
      <c r="V12" s="17" t="n">
        <f aca="false">-V4*Assumptions!$B$19</f>
        <v>-0.039249</v>
      </c>
      <c r="W12" s="17" t="n">
        <f aca="false">-W4*Assumptions!$B$19</f>
        <v>-0.0209085</v>
      </c>
      <c r="X12" s="17" t="n">
        <f aca="false">-X4*Assumptions!$B$19</f>
        <v>-0</v>
      </c>
      <c r="Y12" s="17" t="n">
        <f aca="false">-Y4*Assumptions!$B$19</f>
        <v>-0</v>
      </c>
    </row>
    <row r="13" customFormat="false" ht="15" hidden="false" customHeight="true" outlineLevel="0" collapsed="false">
      <c r="A13" s="38" t="s">
        <v>207</v>
      </c>
      <c r="C13" s="40" t="n">
        <f aca="false">C10+C12</f>
        <v>19.6743855</v>
      </c>
      <c r="D13" s="40" t="n">
        <f aca="false">D10+D12</f>
        <v>21.72248</v>
      </c>
      <c r="E13" s="40" t="n">
        <f aca="false">E10+E12</f>
        <v>23.02754</v>
      </c>
      <c r="F13" s="40" t="n">
        <f aca="false">F10+F12</f>
        <v>25.4152415</v>
      </c>
      <c r="G13" s="40" t="n">
        <f aca="false">G10+G12</f>
        <v>27.1386075</v>
      </c>
      <c r="H13" s="40" t="n">
        <f aca="false">H10+H12</f>
        <v>28.986964</v>
      </c>
      <c r="I13" s="40" t="n">
        <f aca="false">I10+I12</f>
        <v>29.3735035</v>
      </c>
      <c r="J13" s="40" t="n">
        <f aca="false">J10+J12</f>
        <v>6.67122299999999</v>
      </c>
      <c r="K13" s="40" t="n">
        <f aca="false">K10+K12</f>
        <v>5.25500300000003</v>
      </c>
      <c r="L13" s="40" t="n">
        <f aca="false">L10+L12</f>
        <v>5.44740449999998</v>
      </c>
      <c r="M13" s="40" t="n">
        <f aca="false">M10+M12</f>
        <v>4.16913300000001</v>
      </c>
      <c r="N13" s="40" t="n">
        <f aca="false">N10+N12</f>
        <v>4.49310099999998</v>
      </c>
      <c r="O13" s="40" t="n">
        <f aca="false">O10+O12</f>
        <v>7.0411725</v>
      </c>
      <c r="P13" s="40" t="n">
        <f aca="false">P10+P12</f>
        <v>5.67858649999999</v>
      </c>
      <c r="Q13" s="40" t="n">
        <f aca="false">Q10+Q12</f>
        <v>4.1254595</v>
      </c>
      <c r="R13" s="40" t="n">
        <f aca="false">R10+R12</f>
        <v>2.58948450000001</v>
      </c>
      <c r="S13" s="40" t="n">
        <f aca="false">S10+S12</f>
        <v>0.838715000000007</v>
      </c>
      <c r="T13" s="40" t="n">
        <f aca="false">T10+T12</f>
        <v>0.467735500000001</v>
      </c>
      <c r="U13" s="40" t="n">
        <f aca="false">U10+U12</f>
        <v>0.0449449999999998</v>
      </c>
      <c r="V13" s="40" t="n">
        <f aca="false">V10+V12</f>
        <v>-0.793039</v>
      </c>
      <c r="W13" s="40" t="n">
        <f aca="false">W10+W12</f>
        <v>-0.4223935</v>
      </c>
      <c r="X13" s="40" t="n">
        <f aca="false">X10+X12</f>
        <v>0</v>
      </c>
      <c r="Y13" s="40" t="n">
        <f aca="false">Y10+Y12</f>
        <v>0</v>
      </c>
    </row>
    <row r="14" customFormat="false" ht="15" hidden="false" customHeight="true" outlineLevel="0" collapsed="false">
      <c r="A14" s="10" t="s">
        <v>208</v>
      </c>
      <c r="C14" s="16" t="n">
        <f aca="false">IF(C4=0,0,C13/C4)</f>
        <v>0.254836679235116</v>
      </c>
      <c r="D14" s="16" t="n">
        <f aca="false">IF(D4=0,0,D13/D4)</f>
        <v>0.239646087992586</v>
      </c>
      <c r="E14" s="16" t="n">
        <f aca="false">IF(E4=0,0,E13/E4)</f>
        <v>0.214704993846269</v>
      </c>
      <c r="F14" s="16" t="n">
        <f aca="false">IF(F4=0,0,F13/F4)</f>
        <v>0.201413019962008</v>
      </c>
      <c r="G14" s="16" t="n">
        <f aca="false">IF(G4=0,0,G13/G4)</f>
        <v>0.182182934074455</v>
      </c>
      <c r="H14" s="16" t="n">
        <f aca="false">IF(H4=0,0,H13/H4)</f>
        <v>0.16977731598405</v>
      </c>
      <c r="I14" s="16" t="n">
        <f aca="false">IF(I4=0,0,I13/I4)</f>
        <v>0.153823170536924</v>
      </c>
      <c r="J14" s="16" t="n">
        <f aca="false">IF(J4=0,0,J13/J4)</f>
        <v>0.0463596810037984</v>
      </c>
      <c r="K14" s="16" t="n">
        <f aca="false">IF(K4=0,0,K13/K4)</f>
        <v>0.0330991702222274</v>
      </c>
      <c r="L14" s="16" t="n">
        <f aca="false">IF(L4=0,0,L13/L4)</f>
        <v>0.0336097504844886</v>
      </c>
      <c r="M14" s="16" t="n">
        <f aca="false">IF(M4=0,0,M13/M4)</f>
        <v>0.0254402505745079</v>
      </c>
      <c r="N14" s="16" t="n">
        <f aca="false">IF(N4=0,0,N13/N4)</f>
        <v>0.0290248627599936</v>
      </c>
      <c r="O14" s="16" t="n">
        <f aca="false">IF(O4=0,0,O13/O4)</f>
        <v>0.0518723041391479</v>
      </c>
      <c r="P14" s="16" t="n">
        <f aca="false">IF(P4=0,0,P13/P4)</f>
        <v>0.0482111707957756</v>
      </c>
      <c r="Q14" s="16" t="n">
        <f aca="false">IF(Q4=0,0,Q13/Q4)</f>
        <v>0.0423919280373131</v>
      </c>
      <c r="R14" s="16" t="n">
        <f aca="false">IF(R4=0,0,R13/R4)</f>
        <v>0.033804353927634</v>
      </c>
      <c r="S14" s="16" t="n">
        <f aca="false">IF(S4=0,0,S13/S4)</f>
        <v>0.0158286938305623</v>
      </c>
      <c r="T14" s="16" t="n">
        <f aca="false">IF(T4=0,0,T13/T4)</f>
        <v>0.0125486063975061</v>
      </c>
      <c r="U14" s="16" t="n">
        <f aca="false">IF(U4=0,0,U13/U4)</f>
        <v>0.00232141934817416</v>
      </c>
      <c r="V14" s="16" t="n">
        <f aca="false">IF(V4=0,0,V13/V4)</f>
        <v>-0.101026650360519</v>
      </c>
      <c r="W14" s="16" t="n">
        <f aca="false">IF(W4=0,0,W13/W4)</f>
        <v>-0.101009995934668</v>
      </c>
      <c r="X14" s="16" t="n">
        <f aca="false">IF(X4=0,0,X13/X4)</f>
        <v>0</v>
      </c>
      <c r="Y14" s="16" t="n">
        <f aca="false">IF(Y4=0,0,Y13/Y4)</f>
        <v>0</v>
      </c>
    </row>
    <row r="15" customFormat="false" ht="15" hidden="false" customHeight="true" outlineLevel="0" collapsed="false">
      <c r="A15" s="10" t="s">
        <v>209</v>
      </c>
      <c r="C15" s="44" t="n">
        <f aca="false">-'Debt Schedule'!C5</f>
        <v>-2.664</v>
      </c>
      <c r="D15" s="44" t="n">
        <f aca="false">-'Debt Schedule'!D5</f>
        <v>-0</v>
      </c>
      <c r="E15" s="44" t="n">
        <f aca="false">-'Debt Schedule'!E5</f>
        <v>-0</v>
      </c>
      <c r="F15" s="44" t="n">
        <f aca="false">-'Debt Schedule'!F5</f>
        <v>-0</v>
      </c>
      <c r="G15" s="44" t="n">
        <f aca="false">-'Debt Schedule'!G5</f>
        <v>-0</v>
      </c>
      <c r="H15" s="44" t="n">
        <f aca="false">-'Debt Schedule'!H5</f>
        <v>-0</v>
      </c>
      <c r="I15" s="44" t="n">
        <f aca="false">-'Debt Schedule'!I5</f>
        <v>-0</v>
      </c>
      <c r="J15" s="44" t="n">
        <f aca="false">-'Debt Schedule'!J5</f>
        <v>-0</v>
      </c>
      <c r="K15" s="44" t="n">
        <f aca="false">-'Debt Schedule'!K5</f>
        <v>-0</v>
      </c>
      <c r="L15" s="44" t="n">
        <f aca="false">-'Debt Schedule'!L5</f>
        <v>-0</v>
      </c>
      <c r="M15" s="44" t="n">
        <f aca="false">-'Debt Schedule'!M5</f>
        <v>-0</v>
      </c>
      <c r="N15" s="44" t="n">
        <f aca="false">-'Debt Schedule'!N5</f>
        <v>-0</v>
      </c>
      <c r="O15" s="44" t="n">
        <f aca="false">-'Debt Schedule'!O5</f>
        <v>-0</v>
      </c>
      <c r="P15" s="44" t="n">
        <f aca="false">-'Debt Schedule'!P5</f>
        <v>-0</v>
      </c>
      <c r="Q15" s="44" t="n">
        <f aca="false">-'Debt Schedule'!Q5</f>
        <v>-0</v>
      </c>
      <c r="R15" s="44" t="n">
        <f aca="false">-'Debt Schedule'!R5</f>
        <v>-0</v>
      </c>
      <c r="S15" s="44" t="n">
        <f aca="false">-'Debt Schedule'!S5</f>
        <v>-0</v>
      </c>
      <c r="T15" s="44" t="n">
        <f aca="false">-'Debt Schedule'!T5</f>
        <v>-0</v>
      </c>
      <c r="U15" s="44" t="n">
        <f aca="false">-'Debt Schedule'!U5</f>
        <v>-0</v>
      </c>
      <c r="V15" s="44" t="n">
        <f aca="false">-'Debt Schedule'!V5</f>
        <v>-0</v>
      </c>
      <c r="W15" s="44" t="n">
        <f aca="false">-'Debt Schedule'!W5</f>
        <v>-0</v>
      </c>
      <c r="X15" s="44" t="n">
        <f aca="false">-'Debt Schedule'!X5</f>
        <v>-0</v>
      </c>
      <c r="Y15" s="44" t="n">
        <f aca="false">-'Debt Schedule'!Y5</f>
        <v>-0</v>
      </c>
    </row>
    <row r="16" customFormat="false" ht="15" hidden="false" customHeight="true" outlineLevel="0" collapsed="false">
      <c r="A16" s="38" t="s">
        <v>210</v>
      </c>
      <c r="C16" s="40" t="n">
        <f aca="false">C13+C15</f>
        <v>17.0103855</v>
      </c>
      <c r="D16" s="40" t="n">
        <f aca="false">D13+D15</f>
        <v>21.72248</v>
      </c>
      <c r="E16" s="40" t="n">
        <f aca="false">E13+E15</f>
        <v>23.02754</v>
      </c>
      <c r="F16" s="40" t="n">
        <f aca="false">F13+F15</f>
        <v>25.4152415</v>
      </c>
      <c r="G16" s="40" t="n">
        <f aca="false">G13+G15</f>
        <v>27.1386075</v>
      </c>
      <c r="H16" s="40" t="n">
        <f aca="false">H13+H15</f>
        <v>28.986964</v>
      </c>
      <c r="I16" s="40" t="n">
        <f aca="false">I13+I15</f>
        <v>29.3735035</v>
      </c>
      <c r="J16" s="40" t="n">
        <f aca="false">J13+J15</f>
        <v>6.67122299999999</v>
      </c>
      <c r="K16" s="40" t="n">
        <f aca="false">K13+K15</f>
        <v>5.25500300000003</v>
      </c>
      <c r="L16" s="40" t="n">
        <f aca="false">L13+L15</f>
        <v>5.44740449999998</v>
      </c>
      <c r="M16" s="40" t="n">
        <f aca="false">M13+M15</f>
        <v>4.16913300000001</v>
      </c>
      <c r="N16" s="40" t="n">
        <f aca="false">N13+N15</f>
        <v>4.49310099999998</v>
      </c>
      <c r="O16" s="40" t="n">
        <f aca="false">O13+O15</f>
        <v>7.0411725</v>
      </c>
      <c r="P16" s="40" t="n">
        <f aca="false">P13+P15</f>
        <v>5.67858649999999</v>
      </c>
      <c r="Q16" s="40" t="n">
        <f aca="false">Q13+Q15</f>
        <v>4.1254595</v>
      </c>
      <c r="R16" s="40" t="n">
        <f aca="false">R13+R15</f>
        <v>2.58948450000001</v>
      </c>
      <c r="S16" s="40" t="n">
        <f aca="false">S13+S15</f>
        <v>0.838715000000007</v>
      </c>
      <c r="T16" s="40" t="n">
        <f aca="false">T13+T15</f>
        <v>0.467735500000001</v>
      </c>
      <c r="U16" s="40" t="n">
        <f aca="false">U13+U15</f>
        <v>0.0449449999999998</v>
      </c>
      <c r="V16" s="40" t="n">
        <f aca="false">V13+V15</f>
        <v>-0.793039</v>
      </c>
      <c r="W16" s="40" t="n">
        <f aca="false">W13+W15</f>
        <v>-0.4223935</v>
      </c>
      <c r="X16" s="40" t="n">
        <f aca="false">X13+X15</f>
        <v>0</v>
      </c>
      <c r="Y16" s="40" t="n">
        <f aca="false">Y13+Y15</f>
        <v>0</v>
      </c>
    </row>
    <row r="17" customFormat="false" ht="15" hidden="false" customHeight="true" outlineLevel="0" collapsed="false">
      <c r="A17" s="10" t="s">
        <v>211</v>
      </c>
      <c r="C17" s="17" t="n">
        <f aca="false">-MAX(C16,0)*Assumptions!$B$11</f>
        <v>-3.8273367375</v>
      </c>
      <c r="D17" s="17" t="n">
        <f aca="false">-MAX(D16,0)*Assumptions!$B$11</f>
        <v>-4.887558</v>
      </c>
      <c r="E17" s="17" t="n">
        <f aca="false">-MAX(E16,0)*Assumptions!$B$11</f>
        <v>-5.1811965</v>
      </c>
      <c r="F17" s="17" t="n">
        <f aca="false">-MAX(F16,0)*Assumptions!$B$11</f>
        <v>-5.7184293375</v>
      </c>
      <c r="G17" s="17" t="n">
        <f aca="false">-MAX(G16,0)*Assumptions!$B$11</f>
        <v>-6.1061866875</v>
      </c>
      <c r="H17" s="17" t="n">
        <f aca="false">-MAX(H16,0)*Assumptions!$B$11</f>
        <v>-6.52206690000001</v>
      </c>
      <c r="I17" s="17" t="n">
        <f aca="false">-MAX(I16,0)*Assumptions!$B$11</f>
        <v>-6.6090382875</v>
      </c>
      <c r="J17" s="17" t="n">
        <f aca="false">-MAX(J16,0)*Assumptions!$B$11</f>
        <v>-1.501025175</v>
      </c>
      <c r="K17" s="17" t="n">
        <f aca="false">-MAX(K16,0)*Assumptions!$B$11</f>
        <v>-1.18237567500001</v>
      </c>
      <c r="L17" s="17" t="n">
        <f aca="false">-MAX(L16,0)*Assumptions!$B$11</f>
        <v>-1.2256660125</v>
      </c>
      <c r="M17" s="17" t="n">
        <f aca="false">-MAX(M16,0)*Assumptions!$B$11</f>
        <v>-0.938054925000002</v>
      </c>
      <c r="N17" s="17" t="n">
        <f aca="false">-MAX(N16,0)*Assumptions!$B$11</f>
        <v>-1.010947725</v>
      </c>
      <c r="O17" s="17" t="n">
        <f aca="false">-MAX(O16,0)*Assumptions!$B$11</f>
        <v>-1.5842638125</v>
      </c>
      <c r="P17" s="17" t="n">
        <f aca="false">-MAX(P16,0)*Assumptions!$B$11</f>
        <v>-1.2776819625</v>
      </c>
      <c r="Q17" s="17" t="n">
        <f aca="false">-MAX(Q16,0)*Assumptions!$B$11</f>
        <v>-0.928228387500001</v>
      </c>
      <c r="R17" s="17" t="n">
        <f aca="false">-MAX(R16,0)*Assumptions!$B$11</f>
        <v>-0.582634012500003</v>
      </c>
      <c r="S17" s="17" t="n">
        <f aca="false">-MAX(S16,0)*Assumptions!$B$11</f>
        <v>-0.188710875000002</v>
      </c>
      <c r="T17" s="17" t="n">
        <f aca="false">-MAX(T16,0)*Assumptions!$B$11</f>
        <v>-0.1052404875</v>
      </c>
      <c r="U17" s="17" t="n">
        <f aca="false">-MAX(U16,0)*Assumptions!$B$11</f>
        <v>-0.010112625</v>
      </c>
      <c r="V17" s="17" t="n">
        <f aca="false">-MAX(V16,0)*Assumptions!$B$11</f>
        <v>-0</v>
      </c>
      <c r="W17" s="17" t="n">
        <f aca="false">-MAX(W16,0)*Assumptions!$B$11</f>
        <v>-0</v>
      </c>
      <c r="X17" s="17" t="n">
        <f aca="false">-MAX(X16,0)*Assumptions!$B$11</f>
        <v>-0</v>
      </c>
      <c r="Y17" s="17" t="n">
        <f aca="false">-MAX(Y16,0)*Assumptions!$B$11</f>
        <v>-0</v>
      </c>
    </row>
    <row r="18" customFormat="false" ht="15" hidden="false" customHeight="true" outlineLevel="0" collapsed="false">
      <c r="A18" s="38" t="s">
        <v>212</v>
      </c>
      <c r="C18" s="40" t="n">
        <f aca="false">C16+C17</f>
        <v>13.1830487625</v>
      </c>
      <c r="D18" s="40" t="n">
        <f aca="false">D16+D17</f>
        <v>16.834922</v>
      </c>
      <c r="E18" s="40" t="n">
        <f aca="false">E16+E17</f>
        <v>17.8463435</v>
      </c>
      <c r="F18" s="40" t="n">
        <f aca="false">F16+F17</f>
        <v>19.6968121625</v>
      </c>
      <c r="G18" s="40" t="n">
        <f aca="false">G16+G17</f>
        <v>21.0324208125</v>
      </c>
      <c r="H18" s="40" t="n">
        <f aca="false">H16+H17</f>
        <v>22.4648971</v>
      </c>
      <c r="I18" s="40" t="n">
        <f aca="false">I16+I17</f>
        <v>22.7644652125</v>
      </c>
      <c r="J18" s="40" t="n">
        <f aca="false">J16+J17</f>
        <v>5.17019782499999</v>
      </c>
      <c r="K18" s="40" t="n">
        <f aca="false">K16+K17</f>
        <v>4.07262732500002</v>
      </c>
      <c r="L18" s="40" t="n">
        <f aca="false">L16+L17</f>
        <v>4.22173848749999</v>
      </c>
      <c r="M18" s="40" t="n">
        <f aca="false">M16+M17</f>
        <v>3.23107807500001</v>
      </c>
      <c r="N18" s="40" t="n">
        <f aca="false">N16+N17</f>
        <v>3.48215327499999</v>
      </c>
      <c r="O18" s="40" t="n">
        <f aca="false">O16+O17</f>
        <v>5.4569086875</v>
      </c>
      <c r="P18" s="40" t="n">
        <f aca="false">P16+P17</f>
        <v>4.40090453749999</v>
      </c>
      <c r="Q18" s="40" t="n">
        <f aca="false">Q16+Q17</f>
        <v>3.1972311125</v>
      </c>
      <c r="R18" s="40" t="n">
        <f aca="false">R16+R17</f>
        <v>2.00685048750001</v>
      </c>
      <c r="S18" s="40" t="n">
        <f aca="false">S16+S17</f>
        <v>0.650004125000006</v>
      </c>
      <c r="T18" s="40" t="n">
        <f aca="false">T16+T17</f>
        <v>0.362495012500001</v>
      </c>
      <c r="U18" s="40" t="n">
        <f aca="false">U16+U17</f>
        <v>0.0348323749999999</v>
      </c>
      <c r="V18" s="40" t="n">
        <f aca="false">V16+V17</f>
        <v>-0.793039</v>
      </c>
      <c r="W18" s="40" t="n">
        <f aca="false">W16+W17</f>
        <v>-0.4223935</v>
      </c>
      <c r="X18" s="40" t="n">
        <f aca="false">X16+X17</f>
        <v>0</v>
      </c>
      <c r="Y18" s="40" t="n">
        <f aca="false">Y16+Y17</f>
        <v>0</v>
      </c>
    </row>
    <row r="19" customFormat="false" ht="15" hidden="false" customHeight="true" outlineLevel="0" collapsed="false">
      <c r="A19" s="10" t="s">
        <v>213</v>
      </c>
      <c r="C19" s="16" t="n">
        <f aca="false">IF(C4=0,0,C18/C4)</f>
        <v>0.170756254055818</v>
      </c>
      <c r="D19" s="16" t="n">
        <f aca="false">IF(D4=0,0,D18/D4)</f>
        <v>0.185725718194254</v>
      </c>
      <c r="E19" s="16" t="n">
        <f aca="false">IF(E4=0,0,E18/E4)</f>
        <v>0.166396370230858</v>
      </c>
      <c r="F19" s="16" t="n">
        <f aca="false">IF(F4=0,0,F18/F4)</f>
        <v>0.156095090470556</v>
      </c>
      <c r="G19" s="16" t="n">
        <f aca="false">IF(G4=0,0,G18/G4)</f>
        <v>0.141191773907702</v>
      </c>
      <c r="H19" s="16" t="n">
        <f aca="false">IF(H4=0,0,H18/H4)</f>
        <v>0.131577419887639</v>
      </c>
      <c r="I19" s="16" t="n">
        <f aca="false">IF(I4=0,0,I18/I4)</f>
        <v>0.119212957166116</v>
      </c>
      <c r="J19" s="16" t="n">
        <f aca="false">IF(J4=0,0,J18/J4)</f>
        <v>0.0359287527779437</v>
      </c>
      <c r="K19" s="16" t="n">
        <f aca="false">IF(K4=0,0,K18/K4)</f>
        <v>0.0256518569222263</v>
      </c>
      <c r="L19" s="16" t="n">
        <f aca="false">IF(L4=0,0,L18/L4)</f>
        <v>0.0260475566254786</v>
      </c>
      <c r="M19" s="16" t="n">
        <f aca="false">IF(M4=0,0,M18/M4)</f>
        <v>0.0197161941952436</v>
      </c>
      <c r="N19" s="16" t="n">
        <f aca="false">IF(N4=0,0,N18/N4)</f>
        <v>0.0224942686389951</v>
      </c>
      <c r="O19" s="16" t="n">
        <f aca="false">IF(O4=0,0,O18/O4)</f>
        <v>0.0402010357078396</v>
      </c>
      <c r="P19" s="16" t="n">
        <f aca="false">IF(P4=0,0,P18/P4)</f>
        <v>0.0373636573667261</v>
      </c>
      <c r="Q19" s="16" t="n">
        <f aca="false">IF(Q4=0,0,Q18/Q4)</f>
        <v>0.0328537442289177</v>
      </c>
      <c r="R19" s="16" t="n">
        <f aca="false">IF(R4=0,0,R18/R4)</f>
        <v>0.0261983742939163</v>
      </c>
      <c r="S19" s="16" t="n">
        <f aca="false">IF(S4=0,0,S18/S4)</f>
        <v>0.0122672377186858</v>
      </c>
      <c r="T19" s="16" t="n">
        <f aca="false">IF(T4=0,0,T18/T4)</f>
        <v>0.0097251699580672</v>
      </c>
      <c r="U19" s="16" t="n">
        <f aca="false">IF(U4=0,0,U18/U4)</f>
        <v>0.00179909999483497</v>
      </c>
      <c r="V19" s="16" t="n">
        <f aca="false">IF(V4=0,0,V18/V4)</f>
        <v>-0.101026650360519</v>
      </c>
      <c r="W19" s="16" t="n">
        <f aca="false">IF(W4=0,0,W18/W4)</f>
        <v>-0.101009995934668</v>
      </c>
      <c r="X19" s="16" t="n">
        <f aca="false">IF(X4=0,0,X18/X4)</f>
        <v>0</v>
      </c>
      <c r="Y19" s="16" t="n">
        <f aca="false">IF(Y4=0,0,Y18/Y4)</f>
        <v>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Y1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2"/>
    <col collapsed="false" customWidth="true" hidden="false" outlineLevel="0" max="25" min="3" style="1" width="9"/>
  </cols>
  <sheetData>
    <row r="1" customFormat="false" ht="15.75" hidden="false" customHeight="true" outlineLevel="0" collapsed="false">
      <c r="A1" s="6" t="s">
        <v>214</v>
      </c>
      <c r="B1" s="7"/>
      <c r="C1" s="7"/>
      <c r="D1" s="7"/>
      <c r="E1" s="7"/>
      <c r="F1" s="7"/>
      <c r="G1" s="7"/>
      <c r="H1" s="7"/>
      <c r="I1" s="7"/>
      <c r="J1" s="7"/>
      <c r="K1" s="7"/>
      <c r="L1" s="7"/>
      <c r="M1" s="7"/>
      <c r="N1" s="7"/>
      <c r="O1" s="7"/>
      <c r="P1" s="7"/>
      <c r="Q1" s="7"/>
      <c r="R1" s="7"/>
      <c r="S1" s="7"/>
      <c r="T1" s="7"/>
      <c r="U1" s="7"/>
      <c r="V1" s="7"/>
      <c r="W1" s="7"/>
      <c r="X1" s="7"/>
      <c r="Y1" s="7"/>
    </row>
    <row r="2" customFormat="false" ht="15" hidden="false" customHeight="true" outlineLevel="0" collapsed="false">
      <c r="A2" s="8" t="s">
        <v>215</v>
      </c>
      <c r="B2" s="7"/>
      <c r="C2" s="7"/>
      <c r="D2" s="7"/>
      <c r="E2" s="7"/>
      <c r="F2" s="7"/>
      <c r="G2" s="7"/>
      <c r="H2" s="7"/>
      <c r="I2" s="7"/>
      <c r="J2" s="7"/>
      <c r="K2" s="7"/>
      <c r="L2" s="7"/>
      <c r="M2" s="7"/>
      <c r="N2" s="7"/>
      <c r="O2" s="7"/>
      <c r="P2" s="7"/>
      <c r="Q2" s="7"/>
      <c r="R2" s="7"/>
      <c r="S2" s="7"/>
      <c r="T2" s="7"/>
      <c r="U2" s="7"/>
      <c r="V2" s="7"/>
      <c r="W2" s="7"/>
      <c r="X2" s="7"/>
      <c r="Y2" s="7"/>
    </row>
    <row r="3" customFormat="false" ht="15" hidden="false" customHeight="true" outlineLevel="0" collapsed="false">
      <c r="A3" s="27" t="s">
        <v>165</v>
      </c>
      <c r="C3" s="42" t="s">
        <v>166</v>
      </c>
      <c r="D3" s="42" t="s">
        <v>167</v>
      </c>
      <c r="E3" s="42" t="s">
        <v>168</v>
      </c>
      <c r="F3" s="42" t="s">
        <v>169</v>
      </c>
      <c r="G3" s="42" t="s">
        <v>170</v>
      </c>
      <c r="H3" s="42" t="s">
        <v>171</v>
      </c>
      <c r="I3" s="42" t="s">
        <v>172</v>
      </c>
      <c r="J3" s="42" t="s">
        <v>173</v>
      </c>
      <c r="K3" s="42" t="s">
        <v>174</v>
      </c>
      <c r="L3" s="42" t="s">
        <v>175</v>
      </c>
      <c r="M3" s="42" t="s">
        <v>176</v>
      </c>
      <c r="N3" s="42" t="s">
        <v>177</v>
      </c>
      <c r="O3" s="42" t="s">
        <v>178</v>
      </c>
      <c r="P3" s="42" t="s">
        <v>179</v>
      </c>
      <c r="Q3" s="42" t="s">
        <v>180</v>
      </c>
      <c r="R3" s="42" t="s">
        <v>181</v>
      </c>
      <c r="S3" s="42" t="s">
        <v>182</v>
      </c>
      <c r="T3" s="42" t="s">
        <v>183</v>
      </c>
      <c r="U3" s="42" t="s">
        <v>184</v>
      </c>
      <c r="V3" s="42" t="s">
        <v>185</v>
      </c>
      <c r="W3" s="42" t="s">
        <v>186</v>
      </c>
      <c r="X3" s="42" t="s">
        <v>187</v>
      </c>
      <c r="Y3" s="42" t="s">
        <v>188</v>
      </c>
    </row>
    <row r="4" customFormat="false" ht="15" hidden="false" customHeight="true" outlineLevel="0" collapsed="false">
      <c r="A4" s="10" t="s">
        <v>216</v>
      </c>
      <c r="C4" s="17" t="n">
        <f aca="false">Assumptions!$B$6</f>
        <v>14.8</v>
      </c>
      <c r="D4" s="17" t="n">
        <f aca="false">C18</f>
        <v>0</v>
      </c>
      <c r="E4" s="17" t="n">
        <f aca="false">D18</f>
        <v>0</v>
      </c>
      <c r="F4" s="17" t="n">
        <f aca="false">E18</f>
        <v>0</v>
      </c>
      <c r="G4" s="17" t="n">
        <f aca="false">F18</f>
        <v>0</v>
      </c>
      <c r="H4" s="17" t="n">
        <f aca="false">G18</f>
        <v>0</v>
      </c>
      <c r="I4" s="17" t="n">
        <f aca="false">H18</f>
        <v>0</v>
      </c>
      <c r="J4" s="17" t="n">
        <f aca="false">I18</f>
        <v>0</v>
      </c>
      <c r="K4" s="17" t="n">
        <f aca="false">J18</f>
        <v>0</v>
      </c>
      <c r="L4" s="17" t="n">
        <f aca="false">K18</f>
        <v>0</v>
      </c>
      <c r="M4" s="17" t="n">
        <f aca="false">L18</f>
        <v>0</v>
      </c>
      <c r="N4" s="17" t="n">
        <f aca="false">M18</f>
        <v>0</v>
      </c>
      <c r="O4" s="17" t="n">
        <f aca="false">N18</f>
        <v>0</v>
      </c>
      <c r="P4" s="17" t="n">
        <f aca="false">O18</f>
        <v>0</v>
      </c>
      <c r="Q4" s="17" t="n">
        <f aca="false">P18</f>
        <v>0</v>
      </c>
      <c r="R4" s="17" t="n">
        <f aca="false">Q18</f>
        <v>0</v>
      </c>
      <c r="S4" s="17" t="n">
        <f aca="false">R18</f>
        <v>0</v>
      </c>
      <c r="T4" s="17" t="n">
        <f aca="false">S18</f>
        <v>0</v>
      </c>
      <c r="U4" s="17" t="n">
        <f aca="false">T18</f>
        <v>0</v>
      </c>
      <c r="V4" s="17" t="n">
        <f aca="false">U18</f>
        <v>0</v>
      </c>
      <c r="W4" s="17" t="n">
        <f aca="false">V18</f>
        <v>0</v>
      </c>
      <c r="X4" s="17" t="n">
        <f aca="false">W18</f>
        <v>0</v>
      </c>
      <c r="Y4" s="17" t="n">
        <f aca="false">X18</f>
        <v>0</v>
      </c>
    </row>
    <row r="5" customFormat="false" ht="15" hidden="false" customHeight="true" outlineLevel="0" collapsed="false">
      <c r="A5" s="10" t="s">
        <v>209</v>
      </c>
      <c r="C5" s="17" t="n">
        <f aca="false">C4*Assumptions!$B$12</f>
        <v>2.664</v>
      </c>
      <c r="D5" s="17" t="n">
        <f aca="false">D4*Assumptions!$B$12</f>
        <v>0</v>
      </c>
      <c r="E5" s="17" t="n">
        <f aca="false">E4*Assumptions!$B$12</f>
        <v>0</v>
      </c>
      <c r="F5" s="17" t="n">
        <f aca="false">F4*Assumptions!$B$12</f>
        <v>0</v>
      </c>
      <c r="G5" s="17" t="n">
        <f aca="false">G4*Assumptions!$B$12</f>
        <v>0</v>
      </c>
      <c r="H5" s="17" t="n">
        <f aca="false">H4*Assumptions!$B$12</f>
        <v>0</v>
      </c>
      <c r="I5" s="17" t="n">
        <f aca="false">I4*Assumptions!$B$12</f>
        <v>0</v>
      </c>
      <c r="J5" s="17" t="n">
        <f aca="false">J4*Assumptions!$B$12</f>
        <v>0</v>
      </c>
      <c r="K5" s="17" t="n">
        <f aca="false">K4*Assumptions!$B$12</f>
        <v>0</v>
      </c>
      <c r="L5" s="17" t="n">
        <f aca="false">L4*Assumptions!$B$12</f>
        <v>0</v>
      </c>
      <c r="M5" s="17" t="n">
        <f aca="false">M4*Assumptions!$B$12</f>
        <v>0</v>
      </c>
      <c r="N5" s="17" t="n">
        <f aca="false">N4*Assumptions!$B$12</f>
        <v>0</v>
      </c>
      <c r="O5" s="17" t="n">
        <f aca="false">O4*Assumptions!$B$12</f>
        <v>0</v>
      </c>
      <c r="P5" s="17" t="n">
        <f aca="false">P4*Assumptions!$B$12</f>
        <v>0</v>
      </c>
      <c r="Q5" s="17" t="n">
        <f aca="false">Q4*Assumptions!$B$12</f>
        <v>0</v>
      </c>
      <c r="R5" s="17" t="n">
        <f aca="false">R4*Assumptions!$B$12</f>
        <v>0</v>
      </c>
      <c r="S5" s="17" t="n">
        <f aca="false">S4*Assumptions!$B$12</f>
        <v>0</v>
      </c>
      <c r="T5" s="17" t="n">
        <f aca="false">T4*Assumptions!$B$12</f>
        <v>0</v>
      </c>
      <c r="U5" s="17" t="n">
        <f aca="false">U4*Assumptions!$B$12</f>
        <v>0</v>
      </c>
      <c r="V5" s="17" t="n">
        <f aca="false">V4*Assumptions!$B$12</f>
        <v>0</v>
      </c>
      <c r="W5" s="17" t="n">
        <f aca="false">W4*Assumptions!$B$12</f>
        <v>0</v>
      </c>
      <c r="X5" s="17" t="n">
        <f aca="false">X4*Assumptions!$B$12</f>
        <v>0</v>
      </c>
      <c r="Y5" s="17" t="n">
        <f aca="false">Y4*Assumptions!$B$12</f>
        <v>0</v>
      </c>
    </row>
    <row r="6" customFormat="false" ht="15" hidden="false" customHeight="true" outlineLevel="0" collapsed="false">
      <c r="A6" s="10" t="s">
        <v>190</v>
      </c>
      <c r="C6" s="44" t="n">
        <f aca="false">'Project Cash Flows'!C6</f>
        <v>54.442</v>
      </c>
      <c r="D6" s="44" t="n">
        <f aca="false">'Project Cash Flows'!D6</f>
        <v>65.3867</v>
      </c>
      <c r="E6" s="44" t="n">
        <f aca="false">'Project Cash Flows'!E6</f>
        <v>79.1498</v>
      </c>
      <c r="F6" s="44" t="n">
        <f aca="false">'Project Cash Flows'!F6</f>
        <v>95.0003</v>
      </c>
      <c r="G6" s="44" t="n">
        <f aca="false">'Project Cash Flows'!G6</f>
        <v>114.2435</v>
      </c>
      <c r="H6" s="44" t="n">
        <f aca="false">'Project Cash Flows'!H6</f>
        <v>134.8809</v>
      </c>
      <c r="I6" s="44" t="n">
        <f aca="false">'Project Cash Flows'!I6</f>
        <v>156.9532</v>
      </c>
      <c r="J6" s="44" t="n">
        <f aca="false">'Project Cash Flows'!J6</f>
        <v>133.9012</v>
      </c>
      <c r="K6" s="44" t="n">
        <f aca="false">'Project Cash Flows'!K6</f>
        <v>157.7062</v>
      </c>
      <c r="L6" s="44" t="n">
        <f aca="false">'Project Cash Flows'!L6</f>
        <v>165.9146</v>
      </c>
      <c r="M6" s="44" t="n">
        <f aca="false">'Project Cash Flows'!M6</f>
        <v>170.437</v>
      </c>
      <c r="N6" s="44" t="n">
        <f aca="false">'Project Cash Flows'!N6</f>
        <v>165.1725</v>
      </c>
      <c r="O6" s="44" t="n">
        <f aca="false">'Project Cash Flows'!O6</f>
        <v>149.9926</v>
      </c>
      <c r="P6" s="44" t="n">
        <f aca="false">'Project Cash Flows'!P6</f>
        <v>130.3527</v>
      </c>
      <c r="Q6" s="44" t="n">
        <f aca="false">'Project Cash Flows'!Q6</f>
        <v>109.5906</v>
      </c>
      <c r="R6" s="44" t="n">
        <f aca="false">'Project Cash Flows'!R6</f>
        <v>87.3547</v>
      </c>
      <c r="S6" s="44" t="n">
        <f aca="false">'Project Cash Flows'!S6</f>
        <v>64.5539</v>
      </c>
      <c r="T6" s="44" t="n">
        <f aca="false">'Project Cash Flows'!T6</f>
        <v>40.6233</v>
      </c>
      <c r="U6" s="44" t="n">
        <f aca="false">'Project Cash Flows'!U6</f>
        <v>23.4299</v>
      </c>
      <c r="V6" s="44" t="n">
        <f aca="false">'Project Cash Flows'!V6</f>
        <v>8.0081</v>
      </c>
      <c r="W6" s="44" t="n">
        <f aca="false">'Project Cash Flows'!W6</f>
        <v>0</v>
      </c>
      <c r="X6" s="44" t="n">
        <f aca="false">'Project Cash Flows'!X6</f>
        <v>0</v>
      </c>
      <c r="Y6" s="44" t="n">
        <f aca="false">'Project Cash Flows'!Y6</f>
        <v>0</v>
      </c>
    </row>
    <row r="7" customFormat="false" ht="15" hidden="false" customHeight="true" outlineLevel="0" collapsed="false">
      <c r="A7" s="10" t="s">
        <v>217</v>
      </c>
      <c r="C7" s="44" t="n">
        <f aca="false">-'Project Cash Flows'!C9</f>
        <v>-29.77</v>
      </c>
      <c r="D7" s="44" t="n">
        <f aca="false">-'Project Cash Flows'!D9</f>
        <v>-32.3876</v>
      </c>
      <c r="E7" s="44" t="n">
        <f aca="false">-'Project Cash Flows'!E9</f>
        <v>-35.6123</v>
      </c>
      <c r="F7" s="44" t="n">
        <f aca="false">-'Project Cash Flows'!F9</f>
        <v>-39.2882</v>
      </c>
      <c r="G7" s="44" t="n">
        <f aca="false">-'Project Cash Flows'!G9</f>
        <v>-43.715</v>
      </c>
      <c r="H7" s="44" t="n">
        <f aca="false">-'Project Cash Flows'!H9</f>
        <v>-47.779</v>
      </c>
      <c r="I7" s="44" t="n">
        <f aca="false">-'Project Cash Flows'!I9</f>
        <v>-51.3445</v>
      </c>
      <c r="J7" s="44" t="n">
        <f aca="false">-'Project Cash Flows'!J9</f>
        <v>-26.9232</v>
      </c>
      <c r="K7" s="44" t="n">
        <f aca="false">-'Project Cash Flows'!K9</f>
        <v>-29.2274</v>
      </c>
      <c r="L7" s="44" t="n">
        <f aca="false">-'Project Cash Flows'!L9</f>
        <v>-29.52</v>
      </c>
      <c r="M7" s="44" t="n">
        <f aca="false">-'Project Cash Flows'!M9</f>
        <v>-29.5856</v>
      </c>
      <c r="N7" s="44" t="n">
        <f aca="false">-'Project Cash Flows'!N9</f>
        <v>-27.8972</v>
      </c>
      <c r="O7" s="44" t="n">
        <f aca="false">-'Project Cash Flows'!O9</f>
        <v>-24.2903</v>
      </c>
      <c r="P7" s="44" t="n">
        <f aca="false">-'Project Cash Flows'!P9</f>
        <v>-21.0007</v>
      </c>
      <c r="Q7" s="44" t="n">
        <f aca="false">-'Project Cash Flows'!Q9</f>
        <v>-17.2506</v>
      </c>
      <c r="R7" s="44" t="n">
        <f aca="false">-'Project Cash Flows'!R9</f>
        <v>-13.5169</v>
      </c>
      <c r="S7" s="44" t="n">
        <f aca="false">-'Project Cash Flows'!S9</f>
        <v>-9.2605</v>
      </c>
      <c r="T7" s="44" t="n">
        <f aca="false">-'Project Cash Flows'!T9</f>
        <v>-6.471</v>
      </c>
      <c r="U7" s="44" t="n">
        <f aca="false">-'Project Cash Flows'!U9</f>
        <v>-3.2912</v>
      </c>
      <c r="V7" s="44" t="n">
        <f aca="false">-'Project Cash Flows'!V9</f>
        <v>-1.4682</v>
      </c>
      <c r="W7" s="44" t="n">
        <f aca="false">-'Project Cash Flows'!W9</f>
        <v>-0.7821</v>
      </c>
      <c r="X7" s="44" t="n">
        <f aca="false">-'Project Cash Flows'!X9</f>
        <v>-0</v>
      </c>
      <c r="Y7" s="44" t="n">
        <f aca="false">-'Project Cash Flows'!Y9</f>
        <v>-0</v>
      </c>
    </row>
    <row r="8" customFormat="false" ht="15" hidden="false" customHeight="true" outlineLevel="0" collapsed="false">
      <c r="A8" s="10" t="s">
        <v>218</v>
      </c>
      <c r="C8" s="44" t="n">
        <f aca="false">-'Project Cash Flows'!C10</f>
        <v>-0</v>
      </c>
      <c r="D8" s="44" t="n">
        <f aca="false">-'Project Cash Flows'!D10</f>
        <v>-0</v>
      </c>
      <c r="E8" s="44" t="n">
        <f aca="false">-'Project Cash Flows'!E10</f>
        <v>-0</v>
      </c>
      <c r="F8" s="44" t="n">
        <f aca="false">-'Project Cash Flows'!F10</f>
        <v>-0</v>
      </c>
      <c r="G8" s="44" t="n">
        <f aca="false">-'Project Cash Flows'!G10</f>
        <v>-0</v>
      </c>
      <c r="H8" s="44" t="n">
        <f aca="false">-'Project Cash Flows'!H10</f>
        <v>-0</v>
      </c>
      <c r="I8" s="44" t="n">
        <f aca="false">-'Project Cash Flows'!I10</f>
        <v>-0</v>
      </c>
      <c r="J8" s="44" t="n">
        <f aca="false">-'Project Cash Flows'!J10</f>
        <v>-0</v>
      </c>
      <c r="K8" s="44" t="n">
        <f aca="false">-'Project Cash Flows'!K10</f>
        <v>-0</v>
      </c>
      <c r="L8" s="44" t="n">
        <f aca="false">-'Project Cash Flows'!L10</f>
        <v>-0</v>
      </c>
      <c r="M8" s="44" t="n">
        <f aca="false">-'Project Cash Flows'!M10</f>
        <v>-0</v>
      </c>
      <c r="N8" s="44" t="n">
        <f aca="false">-'Project Cash Flows'!N10</f>
        <v>-0</v>
      </c>
      <c r="O8" s="44" t="n">
        <f aca="false">-'Project Cash Flows'!O10</f>
        <v>-0</v>
      </c>
      <c r="P8" s="44" t="n">
        <f aca="false">-'Project Cash Flows'!P10</f>
        <v>-0</v>
      </c>
      <c r="Q8" s="44" t="n">
        <f aca="false">-'Project Cash Flows'!Q10</f>
        <v>-0</v>
      </c>
      <c r="R8" s="44" t="n">
        <f aca="false">-'Project Cash Flows'!R10</f>
        <v>-0</v>
      </c>
      <c r="S8" s="44" t="n">
        <f aca="false">-'Project Cash Flows'!S10</f>
        <v>-0</v>
      </c>
      <c r="T8" s="44" t="n">
        <f aca="false">-'Project Cash Flows'!T10</f>
        <v>-0</v>
      </c>
      <c r="U8" s="44" t="n">
        <f aca="false">-'Project Cash Flows'!U10</f>
        <v>-0</v>
      </c>
      <c r="V8" s="44" t="n">
        <f aca="false">-'Project Cash Flows'!V10</f>
        <v>-0</v>
      </c>
      <c r="W8" s="44" t="n">
        <f aca="false">-'Project Cash Flows'!W10</f>
        <v>-0</v>
      </c>
      <c r="X8" s="44" t="n">
        <f aca="false">-'Project Cash Flows'!X10</f>
        <v>-0</v>
      </c>
      <c r="Y8" s="44" t="n">
        <f aca="false">-'Project Cash Flows'!Y10</f>
        <v>-0</v>
      </c>
    </row>
    <row r="9" customFormat="false" ht="15" hidden="false" customHeight="true" outlineLevel="0" collapsed="false">
      <c r="A9" s="10" t="s">
        <v>195</v>
      </c>
      <c r="C9" s="44" t="n">
        <f aca="false">-'Project Cash Flows'!C11</f>
        <v>-5.3467</v>
      </c>
      <c r="D9" s="44" t="n">
        <f aca="false">-'Project Cash Flows'!D11</f>
        <v>-6.0953</v>
      </c>
      <c r="E9" s="44" t="n">
        <f aca="false">-'Project Cash Flows'!E11</f>
        <v>-7.8488</v>
      </c>
      <c r="F9" s="44" t="n">
        <f aca="false">-'Project Cash Flows'!F11</f>
        <v>-8.9476</v>
      </c>
      <c r="G9" s="44" t="n">
        <f aca="false">-'Project Cash Flows'!G11</f>
        <v>-11.0218</v>
      </c>
      <c r="H9" s="44" t="n">
        <f aca="false">-'Project Cash Flows'!H11</f>
        <v>-11.7339</v>
      </c>
      <c r="I9" s="44" t="n">
        <f aca="false">-'Project Cash Flows'!I11</f>
        <v>-12.4852</v>
      </c>
      <c r="J9" s="44" t="n">
        <f aca="false">-'Project Cash Flows'!J11</f>
        <v>-12.4212</v>
      </c>
      <c r="K9" s="44" t="n">
        <f aca="false">-'Project Cash Flows'!K11</f>
        <v>-12.8768</v>
      </c>
      <c r="L9" s="44" t="n">
        <f aca="false">-'Project Cash Flows'!L11</f>
        <v>-9.8176</v>
      </c>
      <c r="M9" s="44" t="n">
        <f aca="false">-'Project Cash Flows'!M11</f>
        <v>-8.9633</v>
      </c>
      <c r="N9" s="44" t="n">
        <f aca="false">-'Project Cash Flows'!N11</f>
        <v>-4.9829</v>
      </c>
      <c r="O9" s="44" t="n">
        <f aca="false">-'Project Cash Flows'!O11</f>
        <v>-0</v>
      </c>
      <c r="P9" s="44" t="n">
        <f aca="false">-'Project Cash Flows'!P11</f>
        <v>-0</v>
      </c>
      <c r="Q9" s="44" t="n">
        <f aca="false">-'Project Cash Flows'!Q11</f>
        <v>-0</v>
      </c>
      <c r="R9" s="44" t="n">
        <f aca="false">-'Project Cash Flows'!R11</f>
        <v>-0</v>
      </c>
      <c r="S9" s="44" t="n">
        <f aca="false">-'Project Cash Flows'!S11</f>
        <v>-0</v>
      </c>
      <c r="T9" s="44" t="n">
        <f aca="false">-'Project Cash Flows'!T11</f>
        <v>-0</v>
      </c>
      <c r="U9" s="44" t="n">
        <f aca="false">-'Project Cash Flows'!U11</f>
        <v>-0</v>
      </c>
      <c r="V9" s="44" t="n">
        <f aca="false">-'Project Cash Flows'!V11</f>
        <v>-0</v>
      </c>
      <c r="W9" s="44" t="n">
        <f aca="false">-'Project Cash Flows'!W11</f>
        <v>-0</v>
      </c>
      <c r="X9" s="44" t="n">
        <f aca="false">-'Project Cash Flows'!X11</f>
        <v>-0</v>
      </c>
      <c r="Y9" s="44" t="n">
        <f aca="false">-'Project Cash Flows'!Y11</f>
        <v>-0</v>
      </c>
    </row>
    <row r="10" customFormat="false" ht="15" hidden="false" customHeight="true" outlineLevel="0" collapsed="false">
      <c r="A10" s="10" t="s">
        <v>203</v>
      </c>
      <c r="C10" s="44" t="n">
        <f aca="false">-'Income Statement'!C4*Assumptions!$B$18</f>
        <v>-3.860195</v>
      </c>
      <c r="D10" s="44" t="n">
        <f aca="false">-'Income Statement'!D4*Assumptions!$B$18</f>
        <v>-4.5322</v>
      </c>
      <c r="E10" s="44" t="n">
        <f aca="false">-'Income Statement'!E4*Assumptions!$B$18</f>
        <v>-5.3626</v>
      </c>
      <c r="F10" s="44" t="n">
        <f aca="false">-'Income Statement'!F4*Assumptions!$B$18</f>
        <v>-6.309235</v>
      </c>
      <c r="G10" s="44" t="n">
        <f aca="false">-'Income Statement'!G4*Assumptions!$B$18</f>
        <v>-7.448175</v>
      </c>
      <c r="H10" s="44" t="n">
        <f aca="false">-'Income Statement'!H4*Assumptions!$B$18</f>
        <v>-8.53676</v>
      </c>
      <c r="I10" s="44" t="n">
        <f aca="false">-'Income Statement'!I4*Assumptions!$B$18</f>
        <v>-9.547815</v>
      </c>
      <c r="J10" s="44" t="n">
        <f aca="false">-'Income Statement'!J4*Assumptions!$B$18</f>
        <v>-7.19507</v>
      </c>
      <c r="K10" s="44" t="n">
        <f aca="false">-'Income Statement'!K4*Assumptions!$B$18</f>
        <v>-7.93827</v>
      </c>
      <c r="L10" s="44" t="n">
        <f aca="false">-'Income Statement'!L4*Assumptions!$B$18</f>
        <v>-8.103905</v>
      </c>
      <c r="M10" s="44" t="n">
        <f aca="false">-'Income Statement'!M4*Assumptions!$B$18</f>
        <v>-8.19397</v>
      </c>
      <c r="N10" s="44" t="n">
        <f aca="false">-'Income Statement'!N4*Assumptions!$B$18</f>
        <v>-7.74009</v>
      </c>
      <c r="O10" s="44" t="n">
        <f aca="false">-'Income Statement'!O4*Assumptions!$B$18</f>
        <v>-6.787025</v>
      </c>
      <c r="P10" s="44" t="n">
        <f aca="false">-'Income Statement'!P4*Assumptions!$B$18</f>
        <v>-5.889285</v>
      </c>
      <c r="Q10" s="44" t="n">
        <f aca="false">-'Income Statement'!Q4*Assumptions!$B$18</f>
        <v>-4.865855</v>
      </c>
      <c r="R10" s="44" t="n">
        <f aca="false">-'Income Statement'!R4*Assumptions!$B$18</f>
        <v>-3.830105</v>
      </c>
      <c r="S10" s="44" t="n">
        <f aca="false">-'Income Statement'!S4*Assumptions!$B$18</f>
        <v>-2.64935</v>
      </c>
      <c r="T10" s="44" t="n">
        <f aca="false">-'Income Statement'!T4*Assumptions!$B$18</f>
        <v>-1.863695</v>
      </c>
      <c r="U10" s="44" t="n">
        <f aca="false">-'Income Statement'!U4*Assumptions!$B$18</f>
        <v>-0.96805</v>
      </c>
      <c r="V10" s="44" t="n">
        <f aca="false">-'Income Statement'!V4*Assumptions!$B$18</f>
        <v>-0.39249</v>
      </c>
      <c r="W10" s="44" t="n">
        <f aca="false">-'Income Statement'!W4*Assumptions!$B$18</f>
        <v>-0.209085</v>
      </c>
      <c r="X10" s="44" t="n">
        <f aca="false">-'Income Statement'!X4*Assumptions!$B$18</f>
        <v>-0</v>
      </c>
      <c r="Y10" s="44" t="n">
        <f aca="false">-'Income Statement'!Y4*Assumptions!$B$18</f>
        <v>-0</v>
      </c>
    </row>
    <row r="11" customFormat="false" ht="15" hidden="false" customHeight="true" outlineLevel="0" collapsed="false">
      <c r="A11" s="10" t="s">
        <v>219</v>
      </c>
      <c r="C11" s="44" t="n">
        <f aca="false">-'Income Statement'!C4*Assumptions!$B$19</f>
        <v>-0.3860195</v>
      </c>
      <c r="D11" s="44" t="n">
        <f aca="false">-'Income Statement'!D4*Assumptions!$B$19</f>
        <v>-0.45322</v>
      </c>
      <c r="E11" s="44" t="n">
        <f aca="false">-'Income Statement'!E4*Assumptions!$B$19</f>
        <v>-0.53626</v>
      </c>
      <c r="F11" s="44" t="n">
        <f aca="false">-'Income Statement'!F4*Assumptions!$B$19</f>
        <v>-0.6309235</v>
      </c>
      <c r="G11" s="44" t="n">
        <f aca="false">-'Income Statement'!G4*Assumptions!$B$19</f>
        <v>-0.7448175</v>
      </c>
      <c r="H11" s="44" t="n">
        <f aca="false">-'Income Statement'!H4*Assumptions!$B$19</f>
        <v>-0.853676</v>
      </c>
      <c r="I11" s="44" t="n">
        <f aca="false">-'Income Statement'!I4*Assumptions!$B$19</f>
        <v>-0.9547815</v>
      </c>
      <c r="J11" s="44" t="n">
        <f aca="false">-'Income Statement'!J4*Assumptions!$B$19</f>
        <v>-0.719507</v>
      </c>
      <c r="K11" s="44" t="n">
        <f aca="false">-'Income Statement'!K4*Assumptions!$B$19</f>
        <v>-0.793827</v>
      </c>
      <c r="L11" s="44" t="n">
        <f aca="false">-'Income Statement'!L4*Assumptions!$B$19</f>
        <v>-0.8103905</v>
      </c>
      <c r="M11" s="44" t="n">
        <f aca="false">-'Income Statement'!M4*Assumptions!$B$19</f>
        <v>-0.819397</v>
      </c>
      <c r="N11" s="44" t="n">
        <f aca="false">-'Income Statement'!N4*Assumptions!$B$19</f>
        <v>-0.774009</v>
      </c>
      <c r="O11" s="44" t="n">
        <f aca="false">-'Income Statement'!O4*Assumptions!$B$19</f>
        <v>-0.6787025</v>
      </c>
      <c r="P11" s="44" t="n">
        <f aca="false">-'Income Statement'!P4*Assumptions!$B$19</f>
        <v>-0.5889285</v>
      </c>
      <c r="Q11" s="44" t="n">
        <f aca="false">-'Income Statement'!Q4*Assumptions!$B$19</f>
        <v>-0.4865855</v>
      </c>
      <c r="R11" s="44" t="n">
        <f aca="false">-'Income Statement'!R4*Assumptions!$B$19</f>
        <v>-0.3830105</v>
      </c>
      <c r="S11" s="44" t="n">
        <f aca="false">-'Income Statement'!S4*Assumptions!$B$19</f>
        <v>-0.264935</v>
      </c>
      <c r="T11" s="44" t="n">
        <f aca="false">-'Income Statement'!T4*Assumptions!$B$19</f>
        <v>-0.1863695</v>
      </c>
      <c r="U11" s="44" t="n">
        <f aca="false">-'Income Statement'!U4*Assumptions!$B$19</f>
        <v>-0.096805</v>
      </c>
      <c r="V11" s="44" t="n">
        <f aca="false">-'Income Statement'!V4*Assumptions!$B$19</f>
        <v>-0.039249</v>
      </c>
      <c r="W11" s="44" t="n">
        <f aca="false">-'Income Statement'!W4*Assumptions!$B$19</f>
        <v>-0.0209085</v>
      </c>
      <c r="X11" s="44" t="n">
        <f aca="false">-'Income Statement'!X4*Assumptions!$B$19</f>
        <v>-0</v>
      </c>
      <c r="Y11" s="44" t="n">
        <f aca="false">-'Income Statement'!Y4*Assumptions!$B$19</f>
        <v>-0</v>
      </c>
    </row>
    <row r="12" customFormat="false" ht="15" hidden="false" customHeight="true" outlineLevel="0" collapsed="false">
      <c r="A12" s="10" t="s">
        <v>220</v>
      </c>
      <c r="C12" s="44" t="n">
        <f aca="false">'Income Statement'!C17</f>
        <v>-3.8273367375</v>
      </c>
      <c r="D12" s="44" t="n">
        <f aca="false">'Income Statement'!D17</f>
        <v>-4.887558</v>
      </c>
      <c r="E12" s="44" t="n">
        <f aca="false">'Income Statement'!E17</f>
        <v>-5.1811965</v>
      </c>
      <c r="F12" s="44" t="n">
        <f aca="false">'Income Statement'!F17</f>
        <v>-5.7184293375</v>
      </c>
      <c r="G12" s="44" t="n">
        <f aca="false">'Income Statement'!G17</f>
        <v>-6.1061866875</v>
      </c>
      <c r="H12" s="44" t="n">
        <f aca="false">'Income Statement'!H17</f>
        <v>-6.52206690000001</v>
      </c>
      <c r="I12" s="44" t="n">
        <f aca="false">'Income Statement'!I17</f>
        <v>-6.6090382875</v>
      </c>
      <c r="J12" s="44" t="n">
        <f aca="false">'Income Statement'!J17</f>
        <v>-1.501025175</v>
      </c>
      <c r="K12" s="44" t="n">
        <f aca="false">'Income Statement'!K17</f>
        <v>-1.18237567500001</v>
      </c>
      <c r="L12" s="44" t="n">
        <f aca="false">'Income Statement'!L17</f>
        <v>-1.2256660125</v>
      </c>
      <c r="M12" s="44" t="n">
        <f aca="false">'Income Statement'!M17</f>
        <v>-0.938054925000002</v>
      </c>
      <c r="N12" s="44" t="n">
        <f aca="false">'Income Statement'!N17</f>
        <v>-1.010947725</v>
      </c>
      <c r="O12" s="44" t="n">
        <f aca="false">'Income Statement'!O17</f>
        <v>-1.5842638125</v>
      </c>
      <c r="P12" s="44" t="n">
        <f aca="false">'Income Statement'!P17</f>
        <v>-1.2776819625</v>
      </c>
      <c r="Q12" s="44" t="n">
        <f aca="false">'Income Statement'!Q17</f>
        <v>-0.928228387500001</v>
      </c>
      <c r="R12" s="44" t="n">
        <f aca="false">'Income Statement'!R17</f>
        <v>-0.582634012500003</v>
      </c>
      <c r="S12" s="44" t="n">
        <f aca="false">'Income Statement'!S17</f>
        <v>-0.188710875000002</v>
      </c>
      <c r="T12" s="44" t="n">
        <f aca="false">'Income Statement'!T17</f>
        <v>-0.1052404875</v>
      </c>
      <c r="U12" s="44" t="n">
        <f aca="false">'Income Statement'!U17</f>
        <v>-0.010112625</v>
      </c>
      <c r="V12" s="44" t="n">
        <f aca="false">'Income Statement'!V17</f>
        <v>-0</v>
      </c>
      <c r="W12" s="44" t="n">
        <f aca="false">'Income Statement'!W17</f>
        <v>-0</v>
      </c>
      <c r="X12" s="44" t="n">
        <f aca="false">'Income Statement'!X17</f>
        <v>-0</v>
      </c>
      <c r="Y12" s="44" t="n">
        <f aca="false">'Income Statement'!Y17</f>
        <v>-0</v>
      </c>
    </row>
    <row r="13" customFormat="false" ht="15" hidden="false" customHeight="true" outlineLevel="0" collapsed="false">
      <c r="A13" s="10" t="s">
        <v>221</v>
      </c>
      <c r="C13" s="17" t="n">
        <f aca="false">-C5</f>
        <v>-2.664</v>
      </c>
      <c r="D13" s="17" t="n">
        <f aca="false">-D5</f>
        <v>-0</v>
      </c>
      <c r="E13" s="17" t="n">
        <f aca="false">-E5</f>
        <v>-0</v>
      </c>
      <c r="F13" s="17" t="n">
        <f aca="false">-F5</f>
        <v>-0</v>
      </c>
      <c r="G13" s="17" t="n">
        <f aca="false">-G5</f>
        <v>-0</v>
      </c>
      <c r="H13" s="17" t="n">
        <f aca="false">-H5</f>
        <v>-0</v>
      </c>
      <c r="I13" s="17" t="n">
        <f aca="false">-I5</f>
        <v>-0</v>
      </c>
      <c r="J13" s="17" t="n">
        <f aca="false">-J5</f>
        <v>-0</v>
      </c>
      <c r="K13" s="17" t="n">
        <f aca="false">-K5</f>
        <v>-0</v>
      </c>
      <c r="L13" s="17" t="n">
        <f aca="false">-L5</f>
        <v>-0</v>
      </c>
      <c r="M13" s="17" t="n">
        <f aca="false">-M5</f>
        <v>-0</v>
      </c>
      <c r="N13" s="17" t="n">
        <f aca="false">-N5</f>
        <v>-0</v>
      </c>
      <c r="O13" s="17" t="n">
        <f aca="false">-O5</f>
        <v>-0</v>
      </c>
      <c r="P13" s="17" t="n">
        <f aca="false">-P5</f>
        <v>-0</v>
      </c>
      <c r="Q13" s="17" t="n">
        <f aca="false">-Q5</f>
        <v>-0</v>
      </c>
      <c r="R13" s="17" t="n">
        <f aca="false">-R5</f>
        <v>-0</v>
      </c>
      <c r="S13" s="17" t="n">
        <f aca="false">-S5</f>
        <v>-0</v>
      </c>
      <c r="T13" s="17" t="n">
        <f aca="false">-T5</f>
        <v>-0</v>
      </c>
      <c r="U13" s="17" t="n">
        <f aca="false">-U5</f>
        <v>-0</v>
      </c>
      <c r="V13" s="17" t="n">
        <f aca="false">-V5</f>
        <v>-0</v>
      </c>
      <c r="W13" s="17" t="n">
        <f aca="false">-W5</f>
        <v>-0</v>
      </c>
      <c r="X13" s="17" t="n">
        <f aca="false">-X5</f>
        <v>-0</v>
      </c>
      <c r="Y13" s="17" t="n">
        <f aca="false">-Y5</f>
        <v>-0</v>
      </c>
    </row>
    <row r="14" customFormat="false" ht="15" hidden="false" customHeight="true" outlineLevel="0" collapsed="false">
      <c r="A14" s="38" t="s">
        <v>222</v>
      </c>
      <c r="C14" s="40" t="n">
        <f aca="false">SUM(C6:C13)</f>
        <v>8.5877487625</v>
      </c>
      <c r="D14" s="40" t="n">
        <f aca="false">SUM(D6:D13)</f>
        <v>17.030822</v>
      </c>
      <c r="E14" s="40" t="n">
        <f aca="false">SUM(E6:E13)</f>
        <v>24.6086435</v>
      </c>
      <c r="F14" s="40" t="n">
        <f aca="false">SUM(F6:F13)</f>
        <v>34.1059121625</v>
      </c>
      <c r="G14" s="40" t="n">
        <f aca="false">SUM(G6:G13)</f>
        <v>45.2075208125</v>
      </c>
      <c r="H14" s="40" t="n">
        <f aca="false">SUM(H6:H13)</f>
        <v>59.4554971</v>
      </c>
      <c r="I14" s="40" t="n">
        <f aca="false">SUM(I6:I13)</f>
        <v>76.0118652125</v>
      </c>
      <c r="J14" s="40" t="n">
        <f aca="false">SUM(J6:J13)</f>
        <v>85.141197825</v>
      </c>
      <c r="K14" s="40" t="n">
        <f aca="false">SUM(K6:K13)</f>
        <v>105.687527325</v>
      </c>
      <c r="L14" s="40" t="n">
        <f aca="false">SUM(L6:L13)</f>
        <v>116.4370384875</v>
      </c>
      <c r="M14" s="40" t="n">
        <f aca="false">SUM(M6:M13)</f>
        <v>121.936678075</v>
      </c>
      <c r="N14" s="40" t="n">
        <f aca="false">SUM(N6:N13)</f>
        <v>122.767353275</v>
      </c>
      <c r="O14" s="40" t="n">
        <f aca="false">SUM(O6:O13)</f>
        <v>116.6523086875</v>
      </c>
      <c r="P14" s="40" t="n">
        <f aca="false">SUM(P6:P13)</f>
        <v>101.5961045375</v>
      </c>
      <c r="Q14" s="40" t="n">
        <f aca="false">SUM(Q6:Q13)</f>
        <v>86.0593311125</v>
      </c>
      <c r="R14" s="40" t="n">
        <f aca="false">SUM(R6:R13)</f>
        <v>69.0420504875</v>
      </c>
      <c r="S14" s="40" t="n">
        <f aca="false">SUM(S6:S13)</f>
        <v>52.190404125</v>
      </c>
      <c r="T14" s="40" t="n">
        <f aca="false">SUM(T6:T13)</f>
        <v>31.9969950125</v>
      </c>
      <c r="U14" s="40" t="n">
        <f aca="false">SUM(U6:U13)</f>
        <v>19.063732375</v>
      </c>
      <c r="V14" s="40" t="n">
        <f aca="false">SUM(V6:V13)</f>
        <v>6.108161</v>
      </c>
      <c r="W14" s="40" t="n">
        <f aca="false">SUM(W6:W13)</f>
        <v>-1.0120935</v>
      </c>
      <c r="X14" s="40" t="n">
        <f aca="false">SUM(X6:X13)</f>
        <v>0</v>
      </c>
      <c r="Y14" s="40" t="n">
        <f aca="false">SUM(Y6:Y13)</f>
        <v>0</v>
      </c>
    </row>
    <row r="15" customFormat="false" ht="15" hidden="false" customHeight="true" outlineLevel="0" collapsed="false">
      <c r="A15" s="10" t="s">
        <v>223</v>
      </c>
      <c r="C15" s="17" t="n">
        <f aca="false">Assumptions!$B$7</f>
        <v>86.7</v>
      </c>
      <c r="D15" s="17" t="n">
        <f aca="false">C19</f>
        <v>80.4877487625</v>
      </c>
      <c r="E15" s="17" t="n">
        <f aca="false">D19</f>
        <v>97.5185707625</v>
      </c>
      <c r="F15" s="17" t="n">
        <f aca="false">E19</f>
        <v>122.1272142625</v>
      </c>
      <c r="G15" s="17" t="n">
        <f aca="false">F19</f>
        <v>156.233126425</v>
      </c>
      <c r="H15" s="17" t="n">
        <f aca="false">G19</f>
        <v>201.4406472375</v>
      </c>
      <c r="I15" s="17" t="n">
        <f aca="false">H19</f>
        <v>260.8961443375</v>
      </c>
      <c r="J15" s="17" t="n">
        <f aca="false">I19</f>
        <v>336.90800955</v>
      </c>
      <c r="K15" s="17" t="n">
        <f aca="false">J19</f>
        <v>422.049207375</v>
      </c>
      <c r="L15" s="17" t="n">
        <f aca="false">K19</f>
        <v>527.7367347</v>
      </c>
      <c r="M15" s="17" t="n">
        <f aca="false">L19</f>
        <v>644.1737731875</v>
      </c>
      <c r="N15" s="17" t="n">
        <f aca="false">M19</f>
        <v>766.1104512625</v>
      </c>
      <c r="O15" s="17" t="n">
        <f aca="false">N19</f>
        <v>888.8778045375</v>
      </c>
      <c r="P15" s="17" t="n">
        <f aca="false">O19</f>
        <v>1005.530113225</v>
      </c>
      <c r="Q15" s="17" t="n">
        <f aca="false">P19</f>
        <v>1107.1262177625</v>
      </c>
      <c r="R15" s="17" t="n">
        <f aca="false">Q19</f>
        <v>1193.185548875</v>
      </c>
      <c r="S15" s="17" t="n">
        <f aca="false">R19</f>
        <v>1262.2275993625</v>
      </c>
      <c r="T15" s="17" t="n">
        <f aca="false">S19</f>
        <v>1314.4180034875</v>
      </c>
      <c r="U15" s="17" t="n">
        <f aca="false">T19</f>
        <v>1346.4149985</v>
      </c>
      <c r="V15" s="17" t="n">
        <f aca="false">U19</f>
        <v>1365.478730875</v>
      </c>
      <c r="W15" s="17" t="n">
        <f aca="false">V19</f>
        <v>1371.586891875</v>
      </c>
      <c r="X15" s="17" t="n">
        <f aca="false">W19</f>
        <v>1370.574798375</v>
      </c>
      <c r="Y15" s="17" t="n">
        <f aca="false">X19</f>
        <v>1370.574798375</v>
      </c>
    </row>
    <row r="16" customFormat="false" ht="15" hidden="false" customHeight="true" outlineLevel="0" collapsed="false">
      <c r="A16" s="10" t="s">
        <v>224</v>
      </c>
      <c r="C16" s="17" t="n">
        <f aca="false">C15+C14</f>
        <v>95.2877487625</v>
      </c>
      <c r="D16" s="17" t="n">
        <f aca="false">D15+D14</f>
        <v>97.5185707625</v>
      </c>
      <c r="E16" s="17" t="n">
        <f aca="false">E15+E14</f>
        <v>122.1272142625</v>
      </c>
      <c r="F16" s="17" t="n">
        <f aca="false">F15+F14</f>
        <v>156.233126425</v>
      </c>
      <c r="G16" s="17" t="n">
        <f aca="false">G15+G14</f>
        <v>201.4406472375</v>
      </c>
      <c r="H16" s="17" t="n">
        <f aca="false">H15+H14</f>
        <v>260.8961443375</v>
      </c>
      <c r="I16" s="17" t="n">
        <f aca="false">I15+I14</f>
        <v>336.90800955</v>
      </c>
      <c r="J16" s="17" t="n">
        <f aca="false">J15+J14</f>
        <v>422.049207375</v>
      </c>
      <c r="K16" s="17" t="n">
        <f aca="false">K15+K14</f>
        <v>527.7367347</v>
      </c>
      <c r="L16" s="17" t="n">
        <f aca="false">L15+L14</f>
        <v>644.1737731875</v>
      </c>
      <c r="M16" s="17" t="n">
        <f aca="false">M15+M14</f>
        <v>766.1104512625</v>
      </c>
      <c r="N16" s="17" t="n">
        <f aca="false">N15+N14</f>
        <v>888.8778045375</v>
      </c>
      <c r="O16" s="17" t="n">
        <f aca="false">O15+O14</f>
        <v>1005.530113225</v>
      </c>
      <c r="P16" s="17" t="n">
        <f aca="false">P15+P14</f>
        <v>1107.1262177625</v>
      </c>
      <c r="Q16" s="17" t="n">
        <f aca="false">Q15+Q14</f>
        <v>1193.185548875</v>
      </c>
      <c r="R16" s="17" t="n">
        <f aca="false">R15+R14</f>
        <v>1262.2275993625</v>
      </c>
      <c r="S16" s="17" t="n">
        <f aca="false">S15+S14</f>
        <v>1314.4180034875</v>
      </c>
      <c r="T16" s="17" t="n">
        <f aca="false">T15+T14</f>
        <v>1346.4149985</v>
      </c>
      <c r="U16" s="17" t="n">
        <f aca="false">U15+U14</f>
        <v>1365.478730875</v>
      </c>
      <c r="V16" s="17" t="n">
        <f aca="false">V15+V14</f>
        <v>1371.586891875</v>
      </c>
      <c r="W16" s="17" t="n">
        <f aca="false">W15+W14</f>
        <v>1370.574798375</v>
      </c>
      <c r="X16" s="17" t="n">
        <f aca="false">X15+X14</f>
        <v>1370.574798375</v>
      </c>
      <c r="Y16" s="17" t="n">
        <f aca="false">Y15+Y14</f>
        <v>1370.574798375</v>
      </c>
    </row>
    <row r="17" customFormat="false" ht="15" hidden="false" customHeight="true" outlineLevel="0" collapsed="false">
      <c r="A17" s="10" t="s">
        <v>225</v>
      </c>
      <c r="C17" s="17" t="n">
        <f aca="false">IF(C16&lt;Assumptions!$B$20,Assumptions!$B$20-C16,-MIN(C4,C16-Assumptions!$B$20))</f>
        <v>-14.8</v>
      </c>
      <c r="D17" s="17" t="n">
        <f aca="false">IF(D16&lt;Assumptions!$B$20,Assumptions!$B$20-D16,-MIN(D4,D16-Assumptions!$B$20))</f>
        <v>-0</v>
      </c>
      <c r="E17" s="17" t="n">
        <f aca="false">IF(E16&lt;Assumptions!$B$20,Assumptions!$B$20-E16,-MIN(E4,E16-Assumptions!$B$20))</f>
        <v>-0</v>
      </c>
      <c r="F17" s="17" t="n">
        <f aca="false">IF(F16&lt;Assumptions!$B$20,Assumptions!$B$20-F16,-MIN(F4,F16-Assumptions!$B$20))</f>
        <v>-0</v>
      </c>
      <c r="G17" s="17" t="n">
        <f aca="false">IF(G16&lt;Assumptions!$B$20,Assumptions!$B$20-G16,-MIN(G4,G16-Assumptions!$B$20))</f>
        <v>-0</v>
      </c>
      <c r="H17" s="17" t="n">
        <f aca="false">IF(H16&lt;Assumptions!$B$20,Assumptions!$B$20-H16,-MIN(H4,H16-Assumptions!$B$20))</f>
        <v>-0</v>
      </c>
      <c r="I17" s="17" t="n">
        <f aca="false">IF(I16&lt;Assumptions!$B$20,Assumptions!$B$20-I16,-MIN(I4,I16-Assumptions!$B$20))</f>
        <v>-0</v>
      </c>
      <c r="J17" s="17" t="n">
        <f aca="false">IF(J16&lt;Assumptions!$B$20,Assumptions!$B$20-J16,-MIN(J4,J16-Assumptions!$B$20))</f>
        <v>-0</v>
      </c>
      <c r="K17" s="17" t="n">
        <f aca="false">IF(K16&lt;Assumptions!$B$20,Assumptions!$B$20-K16,-MIN(K4,K16-Assumptions!$B$20))</f>
        <v>-0</v>
      </c>
      <c r="L17" s="17" t="n">
        <f aca="false">IF(L16&lt;Assumptions!$B$20,Assumptions!$B$20-L16,-MIN(L4,L16-Assumptions!$B$20))</f>
        <v>-0</v>
      </c>
      <c r="M17" s="17" t="n">
        <f aca="false">IF(M16&lt;Assumptions!$B$20,Assumptions!$B$20-M16,-MIN(M4,M16-Assumptions!$B$20))</f>
        <v>-0</v>
      </c>
      <c r="N17" s="17" t="n">
        <f aca="false">IF(N16&lt;Assumptions!$B$20,Assumptions!$B$20-N16,-MIN(N4,N16-Assumptions!$B$20))</f>
        <v>-0</v>
      </c>
      <c r="O17" s="17" t="n">
        <f aca="false">IF(O16&lt;Assumptions!$B$20,Assumptions!$B$20-O16,-MIN(O4,O16-Assumptions!$B$20))</f>
        <v>-0</v>
      </c>
      <c r="P17" s="17" t="n">
        <f aca="false">IF(P16&lt;Assumptions!$B$20,Assumptions!$B$20-P16,-MIN(P4,P16-Assumptions!$B$20))</f>
        <v>-0</v>
      </c>
      <c r="Q17" s="17" t="n">
        <f aca="false">IF(Q16&lt;Assumptions!$B$20,Assumptions!$B$20-Q16,-MIN(Q4,Q16-Assumptions!$B$20))</f>
        <v>-0</v>
      </c>
      <c r="R17" s="17" t="n">
        <f aca="false">IF(R16&lt;Assumptions!$B$20,Assumptions!$B$20-R16,-MIN(R4,R16-Assumptions!$B$20))</f>
        <v>-0</v>
      </c>
      <c r="S17" s="17" t="n">
        <f aca="false">IF(S16&lt;Assumptions!$B$20,Assumptions!$B$20-S16,-MIN(S4,S16-Assumptions!$B$20))</f>
        <v>-0</v>
      </c>
      <c r="T17" s="17" t="n">
        <f aca="false">IF(T16&lt;Assumptions!$B$20,Assumptions!$B$20-T16,-MIN(T4,T16-Assumptions!$B$20))</f>
        <v>-0</v>
      </c>
      <c r="U17" s="17" t="n">
        <f aca="false">IF(U16&lt;Assumptions!$B$20,Assumptions!$B$20-U16,-MIN(U4,U16-Assumptions!$B$20))</f>
        <v>-0</v>
      </c>
      <c r="V17" s="17" t="n">
        <f aca="false">IF(V16&lt;Assumptions!$B$20,Assumptions!$B$20-V16,-MIN(V4,V16-Assumptions!$B$20))</f>
        <v>-0</v>
      </c>
      <c r="W17" s="17" t="n">
        <f aca="false">IF(W16&lt;Assumptions!$B$20,Assumptions!$B$20-W16,-MIN(W4,W16-Assumptions!$B$20))</f>
        <v>-0</v>
      </c>
      <c r="X17" s="17" t="n">
        <f aca="false">IF(X16&lt;Assumptions!$B$20,Assumptions!$B$20-X16,-MIN(X4,X16-Assumptions!$B$20))</f>
        <v>-0</v>
      </c>
      <c r="Y17" s="17" t="n">
        <f aca="false">IF(Y16&lt;Assumptions!$B$20,Assumptions!$B$20-Y16,-MIN(Y4,Y16-Assumptions!$B$20))</f>
        <v>-0</v>
      </c>
    </row>
    <row r="18" customFormat="false" ht="15" hidden="false" customHeight="true" outlineLevel="0" collapsed="false">
      <c r="A18" s="38" t="s">
        <v>226</v>
      </c>
      <c r="C18" s="40" t="n">
        <f aca="false">C4+C17</f>
        <v>0</v>
      </c>
      <c r="D18" s="40" t="n">
        <f aca="false">D4+D17</f>
        <v>0</v>
      </c>
      <c r="E18" s="40" t="n">
        <f aca="false">E4+E17</f>
        <v>0</v>
      </c>
      <c r="F18" s="40" t="n">
        <f aca="false">F4+F17</f>
        <v>0</v>
      </c>
      <c r="G18" s="40" t="n">
        <f aca="false">G4+G17</f>
        <v>0</v>
      </c>
      <c r="H18" s="40" t="n">
        <f aca="false">H4+H17</f>
        <v>0</v>
      </c>
      <c r="I18" s="40" t="n">
        <f aca="false">I4+I17</f>
        <v>0</v>
      </c>
      <c r="J18" s="40" t="n">
        <f aca="false">J4+J17</f>
        <v>0</v>
      </c>
      <c r="K18" s="40" t="n">
        <f aca="false">K4+K17</f>
        <v>0</v>
      </c>
      <c r="L18" s="40" t="n">
        <f aca="false">L4+L17</f>
        <v>0</v>
      </c>
      <c r="M18" s="40" t="n">
        <f aca="false">M4+M17</f>
        <v>0</v>
      </c>
      <c r="N18" s="40" t="n">
        <f aca="false">N4+N17</f>
        <v>0</v>
      </c>
      <c r="O18" s="40" t="n">
        <f aca="false">O4+O17</f>
        <v>0</v>
      </c>
      <c r="P18" s="40" t="n">
        <f aca="false">P4+P17</f>
        <v>0</v>
      </c>
      <c r="Q18" s="40" t="n">
        <f aca="false">Q4+Q17</f>
        <v>0</v>
      </c>
      <c r="R18" s="40" t="n">
        <f aca="false">R4+R17</f>
        <v>0</v>
      </c>
      <c r="S18" s="40" t="n">
        <f aca="false">S4+S17</f>
        <v>0</v>
      </c>
      <c r="T18" s="40" t="n">
        <f aca="false">T4+T17</f>
        <v>0</v>
      </c>
      <c r="U18" s="40" t="n">
        <f aca="false">U4+U17</f>
        <v>0</v>
      </c>
      <c r="V18" s="40" t="n">
        <f aca="false">V4+V17</f>
        <v>0</v>
      </c>
      <c r="W18" s="40" t="n">
        <f aca="false">W4+W17</f>
        <v>0</v>
      </c>
      <c r="X18" s="40" t="n">
        <f aca="false">X4+X17</f>
        <v>0</v>
      </c>
      <c r="Y18" s="40" t="n">
        <f aca="false">Y4+Y17</f>
        <v>0</v>
      </c>
    </row>
    <row r="19" customFormat="false" ht="15" hidden="false" customHeight="true" outlineLevel="0" collapsed="false">
      <c r="A19" s="38" t="s">
        <v>227</v>
      </c>
      <c r="C19" s="40" t="n">
        <f aca="false">C16+C17</f>
        <v>80.4877487625</v>
      </c>
      <c r="D19" s="40" t="n">
        <f aca="false">D16+D17</f>
        <v>97.5185707625</v>
      </c>
      <c r="E19" s="40" t="n">
        <f aca="false">E16+E17</f>
        <v>122.1272142625</v>
      </c>
      <c r="F19" s="40" t="n">
        <f aca="false">F16+F17</f>
        <v>156.233126425</v>
      </c>
      <c r="G19" s="40" t="n">
        <f aca="false">G16+G17</f>
        <v>201.4406472375</v>
      </c>
      <c r="H19" s="40" t="n">
        <f aca="false">H16+H17</f>
        <v>260.8961443375</v>
      </c>
      <c r="I19" s="40" t="n">
        <f aca="false">I16+I17</f>
        <v>336.90800955</v>
      </c>
      <c r="J19" s="40" t="n">
        <f aca="false">J16+J17</f>
        <v>422.049207375</v>
      </c>
      <c r="K19" s="40" t="n">
        <f aca="false">K16+K17</f>
        <v>527.7367347</v>
      </c>
      <c r="L19" s="40" t="n">
        <f aca="false">L16+L17</f>
        <v>644.1737731875</v>
      </c>
      <c r="M19" s="40" t="n">
        <f aca="false">M16+M17</f>
        <v>766.1104512625</v>
      </c>
      <c r="N19" s="40" t="n">
        <f aca="false">N16+N17</f>
        <v>888.8778045375</v>
      </c>
      <c r="O19" s="40" t="n">
        <f aca="false">O16+O17</f>
        <v>1005.530113225</v>
      </c>
      <c r="P19" s="40" t="n">
        <f aca="false">P16+P17</f>
        <v>1107.1262177625</v>
      </c>
      <c r="Q19" s="40" t="n">
        <f aca="false">Q16+Q17</f>
        <v>1193.185548875</v>
      </c>
      <c r="R19" s="40" t="n">
        <f aca="false">R16+R17</f>
        <v>1262.2275993625</v>
      </c>
      <c r="S19" s="40" t="n">
        <f aca="false">S16+S17</f>
        <v>1314.4180034875</v>
      </c>
      <c r="T19" s="40" t="n">
        <f aca="false">T16+T17</f>
        <v>1346.4149985</v>
      </c>
      <c r="U19" s="40" t="n">
        <f aca="false">U16+U17</f>
        <v>1365.478730875</v>
      </c>
      <c r="V19" s="40" t="n">
        <f aca="false">V16+V17</f>
        <v>1371.586891875</v>
      </c>
      <c r="W19" s="40" t="n">
        <f aca="false">W16+W17</f>
        <v>1370.574798375</v>
      </c>
      <c r="X19" s="40" t="n">
        <f aca="false">X16+X17</f>
        <v>1370.574798375</v>
      </c>
      <c r="Y19" s="40" t="n">
        <f aca="false">Y16+Y17</f>
        <v>1370.574798375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Y1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4"/>
    <col collapsed="false" customWidth="true" hidden="false" outlineLevel="0" max="25" min="3" style="1" width="9"/>
  </cols>
  <sheetData>
    <row r="1" customFormat="false" ht="15.75" hidden="false" customHeight="true" outlineLevel="0" collapsed="false">
      <c r="A1" s="6" t="s">
        <v>228</v>
      </c>
      <c r="B1" s="7"/>
      <c r="C1" s="7"/>
      <c r="D1" s="7"/>
      <c r="E1" s="7"/>
      <c r="F1" s="7"/>
      <c r="G1" s="7"/>
      <c r="H1" s="7"/>
      <c r="I1" s="7"/>
      <c r="J1" s="7"/>
      <c r="K1" s="7"/>
      <c r="L1" s="7"/>
      <c r="M1" s="7"/>
      <c r="N1" s="7"/>
      <c r="O1" s="7"/>
      <c r="P1" s="7"/>
      <c r="Q1" s="7"/>
      <c r="R1" s="7"/>
      <c r="S1" s="7"/>
      <c r="T1" s="7"/>
      <c r="U1" s="7"/>
      <c r="V1" s="7"/>
      <c r="W1" s="7"/>
      <c r="X1" s="7"/>
      <c r="Y1" s="7"/>
    </row>
    <row r="2" customFormat="false" ht="15" hidden="false" customHeight="true" outlineLevel="0" collapsed="false">
      <c r="A2" s="8" t="s">
        <v>229</v>
      </c>
      <c r="B2" s="7"/>
      <c r="C2" s="7"/>
      <c r="D2" s="7"/>
      <c r="E2" s="7"/>
      <c r="F2" s="7"/>
      <c r="G2" s="7"/>
      <c r="H2" s="7"/>
      <c r="I2" s="7"/>
      <c r="J2" s="7"/>
      <c r="K2" s="7"/>
      <c r="L2" s="7"/>
      <c r="M2" s="7"/>
      <c r="N2" s="7"/>
      <c r="O2" s="7"/>
      <c r="P2" s="7"/>
      <c r="Q2" s="7"/>
      <c r="R2" s="7"/>
      <c r="S2" s="7"/>
      <c r="T2" s="7"/>
      <c r="U2" s="7"/>
      <c r="V2" s="7"/>
      <c r="W2" s="7"/>
      <c r="X2" s="7"/>
      <c r="Y2" s="7"/>
    </row>
    <row r="3" customFormat="false" ht="15" hidden="false" customHeight="true" outlineLevel="0" collapsed="false">
      <c r="A3" s="27" t="s">
        <v>165</v>
      </c>
      <c r="C3" s="42" t="s">
        <v>166</v>
      </c>
      <c r="D3" s="42" t="s">
        <v>167</v>
      </c>
      <c r="E3" s="42" t="s">
        <v>168</v>
      </c>
      <c r="F3" s="42" t="s">
        <v>169</v>
      </c>
      <c r="G3" s="42" t="s">
        <v>170</v>
      </c>
      <c r="H3" s="42" t="s">
        <v>171</v>
      </c>
      <c r="I3" s="42" t="s">
        <v>172</v>
      </c>
      <c r="J3" s="42" t="s">
        <v>173</v>
      </c>
      <c r="K3" s="42" t="s">
        <v>174</v>
      </c>
      <c r="L3" s="42" t="s">
        <v>175</v>
      </c>
      <c r="M3" s="42" t="s">
        <v>176</v>
      </c>
      <c r="N3" s="42" t="s">
        <v>177</v>
      </c>
      <c r="O3" s="42" t="s">
        <v>178</v>
      </c>
      <c r="P3" s="42" t="s">
        <v>179</v>
      </c>
      <c r="Q3" s="42" t="s">
        <v>180</v>
      </c>
      <c r="R3" s="42" t="s">
        <v>181</v>
      </c>
      <c r="S3" s="42" t="s">
        <v>182</v>
      </c>
      <c r="T3" s="42" t="s">
        <v>183</v>
      </c>
      <c r="U3" s="42" t="s">
        <v>184</v>
      </c>
      <c r="V3" s="42" t="s">
        <v>185</v>
      </c>
      <c r="W3" s="42" t="s">
        <v>186</v>
      </c>
      <c r="X3" s="42" t="s">
        <v>187</v>
      </c>
      <c r="Y3" s="42" t="s">
        <v>188</v>
      </c>
    </row>
    <row r="4" customFormat="false" ht="15" hidden="false" customHeight="true" outlineLevel="0" collapsed="false">
      <c r="A4" s="10" t="s">
        <v>230</v>
      </c>
      <c r="C4" s="44" t="n">
        <f aca="false">'Debt Schedule'!C6</f>
        <v>54.442</v>
      </c>
      <c r="D4" s="44" t="n">
        <f aca="false">'Debt Schedule'!D6</f>
        <v>65.3867</v>
      </c>
      <c r="E4" s="44" t="n">
        <f aca="false">'Debt Schedule'!E6</f>
        <v>79.1498</v>
      </c>
      <c r="F4" s="44" t="n">
        <f aca="false">'Debt Schedule'!F6</f>
        <v>95.0003</v>
      </c>
      <c r="G4" s="44" t="n">
        <f aca="false">'Debt Schedule'!G6</f>
        <v>114.2435</v>
      </c>
      <c r="H4" s="44" t="n">
        <f aca="false">'Debt Schedule'!H6</f>
        <v>134.8809</v>
      </c>
      <c r="I4" s="44" t="n">
        <f aca="false">'Debt Schedule'!I6</f>
        <v>156.9532</v>
      </c>
      <c r="J4" s="44" t="n">
        <f aca="false">'Debt Schedule'!J6</f>
        <v>133.9012</v>
      </c>
      <c r="K4" s="44" t="n">
        <f aca="false">'Debt Schedule'!K6</f>
        <v>157.7062</v>
      </c>
      <c r="L4" s="44" t="n">
        <f aca="false">'Debt Schedule'!L6</f>
        <v>165.9146</v>
      </c>
      <c r="M4" s="44" t="n">
        <f aca="false">'Debt Schedule'!M6</f>
        <v>170.437</v>
      </c>
      <c r="N4" s="44" t="n">
        <f aca="false">'Debt Schedule'!N6</f>
        <v>165.1725</v>
      </c>
      <c r="O4" s="44" t="n">
        <f aca="false">'Debt Schedule'!O6</f>
        <v>149.9926</v>
      </c>
      <c r="P4" s="44" t="n">
        <f aca="false">'Debt Schedule'!P6</f>
        <v>130.3527</v>
      </c>
      <c r="Q4" s="44" t="n">
        <f aca="false">'Debt Schedule'!Q6</f>
        <v>109.5906</v>
      </c>
      <c r="R4" s="44" t="n">
        <f aca="false">'Debt Schedule'!R6</f>
        <v>87.3547</v>
      </c>
      <c r="S4" s="44" t="n">
        <f aca="false">'Debt Schedule'!S6</f>
        <v>64.5539</v>
      </c>
      <c r="T4" s="44" t="n">
        <f aca="false">'Debt Schedule'!T6</f>
        <v>40.6233</v>
      </c>
      <c r="U4" s="44" t="n">
        <f aca="false">'Debt Schedule'!U6</f>
        <v>23.4299</v>
      </c>
      <c r="V4" s="44" t="n">
        <f aca="false">'Debt Schedule'!V6</f>
        <v>8.0081</v>
      </c>
      <c r="W4" s="44" t="n">
        <f aca="false">'Debt Schedule'!W6</f>
        <v>0</v>
      </c>
      <c r="X4" s="44" t="n">
        <f aca="false">'Debt Schedule'!X6</f>
        <v>0</v>
      </c>
      <c r="Y4" s="44" t="n">
        <f aca="false">'Debt Schedule'!Y6</f>
        <v>0</v>
      </c>
    </row>
    <row r="5" customFormat="false" ht="15" hidden="false" customHeight="true" outlineLevel="0" collapsed="false">
      <c r="A5" s="10" t="s">
        <v>231</v>
      </c>
      <c r="C5" s="44" t="n">
        <f aca="false">'Debt Schedule'!C7</f>
        <v>-29.77</v>
      </c>
      <c r="D5" s="44" t="n">
        <f aca="false">'Debt Schedule'!D7</f>
        <v>-32.3876</v>
      </c>
      <c r="E5" s="44" t="n">
        <f aca="false">'Debt Schedule'!E7</f>
        <v>-35.6123</v>
      </c>
      <c r="F5" s="44" t="n">
        <f aca="false">'Debt Schedule'!F7</f>
        <v>-39.2882</v>
      </c>
      <c r="G5" s="44" t="n">
        <f aca="false">'Debt Schedule'!G7</f>
        <v>-43.715</v>
      </c>
      <c r="H5" s="44" t="n">
        <f aca="false">'Debt Schedule'!H7</f>
        <v>-47.779</v>
      </c>
      <c r="I5" s="44" t="n">
        <f aca="false">'Debt Schedule'!I7</f>
        <v>-51.3445</v>
      </c>
      <c r="J5" s="44" t="n">
        <f aca="false">'Debt Schedule'!J7</f>
        <v>-26.9232</v>
      </c>
      <c r="K5" s="44" t="n">
        <f aca="false">'Debt Schedule'!K7</f>
        <v>-29.2274</v>
      </c>
      <c r="L5" s="44" t="n">
        <f aca="false">'Debt Schedule'!L7</f>
        <v>-29.52</v>
      </c>
      <c r="M5" s="44" t="n">
        <f aca="false">'Debt Schedule'!M7</f>
        <v>-29.5856</v>
      </c>
      <c r="N5" s="44" t="n">
        <f aca="false">'Debt Schedule'!N7</f>
        <v>-27.8972</v>
      </c>
      <c r="O5" s="44" t="n">
        <f aca="false">'Debt Schedule'!O7</f>
        <v>-24.2903</v>
      </c>
      <c r="P5" s="44" t="n">
        <f aca="false">'Debt Schedule'!P7</f>
        <v>-21.0007</v>
      </c>
      <c r="Q5" s="44" t="n">
        <f aca="false">'Debt Schedule'!Q7</f>
        <v>-17.2506</v>
      </c>
      <c r="R5" s="44" t="n">
        <f aca="false">'Debt Schedule'!R7</f>
        <v>-13.5169</v>
      </c>
      <c r="S5" s="44" t="n">
        <f aca="false">'Debt Schedule'!S7</f>
        <v>-9.2605</v>
      </c>
      <c r="T5" s="44" t="n">
        <f aca="false">'Debt Schedule'!T7</f>
        <v>-6.471</v>
      </c>
      <c r="U5" s="44" t="n">
        <f aca="false">'Debt Schedule'!U7</f>
        <v>-3.2912</v>
      </c>
      <c r="V5" s="44" t="n">
        <f aca="false">'Debt Schedule'!V7</f>
        <v>-1.4682</v>
      </c>
      <c r="W5" s="44" t="n">
        <f aca="false">'Debt Schedule'!W7</f>
        <v>-0.7821</v>
      </c>
      <c r="X5" s="44" t="n">
        <f aca="false">'Debt Schedule'!X7</f>
        <v>-0</v>
      </c>
      <c r="Y5" s="44" t="n">
        <f aca="false">'Debt Schedule'!Y7</f>
        <v>-0</v>
      </c>
    </row>
    <row r="6" customFormat="false" ht="15" hidden="false" customHeight="true" outlineLevel="0" collapsed="false">
      <c r="A6" s="10" t="s">
        <v>232</v>
      </c>
      <c r="C6" s="44" t="n">
        <f aca="false">'Debt Schedule'!C8</f>
        <v>-0</v>
      </c>
      <c r="D6" s="44" t="n">
        <f aca="false">'Debt Schedule'!D8</f>
        <v>-0</v>
      </c>
      <c r="E6" s="44" t="n">
        <f aca="false">'Debt Schedule'!E8</f>
        <v>-0</v>
      </c>
      <c r="F6" s="44" t="n">
        <f aca="false">'Debt Schedule'!F8</f>
        <v>-0</v>
      </c>
      <c r="G6" s="44" t="n">
        <f aca="false">'Debt Schedule'!G8</f>
        <v>-0</v>
      </c>
      <c r="H6" s="44" t="n">
        <f aca="false">'Debt Schedule'!H8</f>
        <v>-0</v>
      </c>
      <c r="I6" s="44" t="n">
        <f aca="false">'Debt Schedule'!I8</f>
        <v>-0</v>
      </c>
      <c r="J6" s="44" t="n">
        <f aca="false">'Debt Schedule'!J8</f>
        <v>-0</v>
      </c>
      <c r="K6" s="44" t="n">
        <f aca="false">'Debt Schedule'!K8</f>
        <v>-0</v>
      </c>
      <c r="L6" s="44" t="n">
        <f aca="false">'Debt Schedule'!L8</f>
        <v>-0</v>
      </c>
      <c r="M6" s="44" t="n">
        <f aca="false">'Debt Schedule'!M8</f>
        <v>-0</v>
      </c>
      <c r="N6" s="44" t="n">
        <f aca="false">'Debt Schedule'!N8</f>
        <v>-0</v>
      </c>
      <c r="O6" s="44" t="n">
        <f aca="false">'Debt Schedule'!O8</f>
        <v>-0</v>
      </c>
      <c r="P6" s="44" t="n">
        <f aca="false">'Debt Schedule'!P8</f>
        <v>-0</v>
      </c>
      <c r="Q6" s="44" t="n">
        <f aca="false">'Debt Schedule'!Q8</f>
        <v>-0</v>
      </c>
      <c r="R6" s="44" t="n">
        <f aca="false">'Debt Schedule'!R8</f>
        <v>-0</v>
      </c>
      <c r="S6" s="44" t="n">
        <f aca="false">'Debt Schedule'!S8</f>
        <v>-0</v>
      </c>
      <c r="T6" s="44" t="n">
        <f aca="false">'Debt Schedule'!T8</f>
        <v>-0</v>
      </c>
      <c r="U6" s="44" t="n">
        <f aca="false">'Debt Schedule'!U8</f>
        <v>-0</v>
      </c>
      <c r="V6" s="44" t="n">
        <f aca="false">'Debt Schedule'!V8</f>
        <v>-0</v>
      </c>
      <c r="W6" s="44" t="n">
        <f aca="false">'Debt Schedule'!W8</f>
        <v>-0</v>
      </c>
      <c r="X6" s="44" t="n">
        <f aca="false">'Debt Schedule'!X8</f>
        <v>-0</v>
      </c>
      <c r="Y6" s="44" t="n">
        <f aca="false">'Debt Schedule'!Y8</f>
        <v>-0</v>
      </c>
    </row>
    <row r="7" customFormat="false" ht="15" hidden="false" customHeight="true" outlineLevel="0" collapsed="false">
      <c r="A7" s="10" t="s">
        <v>195</v>
      </c>
      <c r="C7" s="44" t="n">
        <f aca="false">'Debt Schedule'!C9</f>
        <v>-5.3467</v>
      </c>
      <c r="D7" s="44" t="n">
        <f aca="false">'Debt Schedule'!D9</f>
        <v>-6.0953</v>
      </c>
      <c r="E7" s="44" t="n">
        <f aca="false">'Debt Schedule'!E9</f>
        <v>-7.8488</v>
      </c>
      <c r="F7" s="44" t="n">
        <f aca="false">'Debt Schedule'!F9</f>
        <v>-8.9476</v>
      </c>
      <c r="G7" s="44" t="n">
        <f aca="false">'Debt Schedule'!G9</f>
        <v>-11.0218</v>
      </c>
      <c r="H7" s="44" t="n">
        <f aca="false">'Debt Schedule'!H9</f>
        <v>-11.7339</v>
      </c>
      <c r="I7" s="44" t="n">
        <f aca="false">'Debt Schedule'!I9</f>
        <v>-12.4852</v>
      </c>
      <c r="J7" s="44" t="n">
        <f aca="false">'Debt Schedule'!J9</f>
        <v>-12.4212</v>
      </c>
      <c r="K7" s="44" t="n">
        <f aca="false">'Debt Schedule'!K9</f>
        <v>-12.8768</v>
      </c>
      <c r="L7" s="44" t="n">
        <f aca="false">'Debt Schedule'!L9</f>
        <v>-9.8176</v>
      </c>
      <c r="M7" s="44" t="n">
        <f aca="false">'Debt Schedule'!M9</f>
        <v>-8.9633</v>
      </c>
      <c r="N7" s="44" t="n">
        <f aca="false">'Debt Schedule'!N9</f>
        <v>-4.9829</v>
      </c>
      <c r="O7" s="44" t="n">
        <f aca="false">'Debt Schedule'!O9</f>
        <v>-0</v>
      </c>
      <c r="P7" s="44" t="n">
        <f aca="false">'Debt Schedule'!P9</f>
        <v>-0</v>
      </c>
      <c r="Q7" s="44" t="n">
        <f aca="false">'Debt Schedule'!Q9</f>
        <v>-0</v>
      </c>
      <c r="R7" s="44" t="n">
        <f aca="false">'Debt Schedule'!R9</f>
        <v>-0</v>
      </c>
      <c r="S7" s="44" t="n">
        <f aca="false">'Debt Schedule'!S9</f>
        <v>-0</v>
      </c>
      <c r="T7" s="44" t="n">
        <f aca="false">'Debt Schedule'!T9</f>
        <v>-0</v>
      </c>
      <c r="U7" s="44" t="n">
        <f aca="false">'Debt Schedule'!U9</f>
        <v>-0</v>
      </c>
      <c r="V7" s="44" t="n">
        <f aca="false">'Debt Schedule'!V9</f>
        <v>-0</v>
      </c>
      <c r="W7" s="44" t="n">
        <f aca="false">'Debt Schedule'!W9</f>
        <v>-0</v>
      </c>
      <c r="X7" s="44" t="n">
        <f aca="false">'Debt Schedule'!X9</f>
        <v>-0</v>
      </c>
      <c r="Y7" s="44" t="n">
        <f aca="false">'Debt Schedule'!Y9</f>
        <v>-0</v>
      </c>
    </row>
    <row r="8" customFormat="false" ht="15" hidden="false" customHeight="true" outlineLevel="0" collapsed="false">
      <c r="A8" s="10" t="s">
        <v>203</v>
      </c>
      <c r="C8" s="44" t="n">
        <f aca="false">'Debt Schedule'!C10</f>
        <v>-3.860195</v>
      </c>
      <c r="D8" s="44" t="n">
        <f aca="false">'Debt Schedule'!D10</f>
        <v>-4.5322</v>
      </c>
      <c r="E8" s="44" t="n">
        <f aca="false">'Debt Schedule'!E10</f>
        <v>-5.3626</v>
      </c>
      <c r="F8" s="44" t="n">
        <f aca="false">'Debt Schedule'!F10</f>
        <v>-6.309235</v>
      </c>
      <c r="G8" s="44" t="n">
        <f aca="false">'Debt Schedule'!G10</f>
        <v>-7.448175</v>
      </c>
      <c r="H8" s="44" t="n">
        <f aca="false">'Debt Schedule'!H10</f>
        <v>-8.53676</v>
      </c>
      <c r="I8" s="44" t="n">
        <f aca="false">'Debt Schedule'!I10</f>
        <v>-9.547815</v>
      </c>
      <c r="J8" s="44" t="n">
        <f aca="false">'Debt Schedule'!J10</f>
        <v>-7.19507</v>
      </c>
      <c r="K8" s="44" t="n">
        <f aca="false">'Debt Schedule'!K10</f>
        <v>-7.93827</v>
      </c>
      <c r="L8" s="44" t="n">
        <f aca="false">'Debt Schedule'!L10</f>
        <v>-8.103905</v>
      </c>
      <c r="M8" s="44" t="n">
        <f aca="false">'Debt Schedule'!M10</f>
        <v>-8.19397</v>
      </c>
      <c r="N8" s="44" t="n">
        <f aca="false">'Debt Schedule'!N10</f>
        <v>-7.74009</v>
      </c>
      <c r="O8" s="44" t="n">
        <f aca="false">'Debt Schedule'!O10</f>
        <v>-6.787025</v>
      </c>
      <c r="P8" s="44" t="n">
        <f aca="false">'Debt Schedule'!P10</f>
        <v>-5.889285</v>
      </c>
      <c r="Q8" s="44" t="n">
        <f aca="false">'Debt Schedule'!Q10</f>
        <v>-4.865855</v>
      </c>
      <c r="R8" s="44" t="n">
        <f aca="false">'Debt Schedule'!R10</f>
        <v>-3.830105</v>
      </c>
      <c r="S8" s="44" t="n">
        <f aca="false">'Debt Schedule'!S10</f>
        <v>-2.64935</v>
      </c>
      <c r="T8" s="44" t="n">
        <f aca="false">'Debt Schedule'!T10</f>
        <v>-1.863695</v>
      </c>
      <c r="U8" s="44" t="n">
        <f aca="false">'Debt Schedule'!U10</f>
        <v>-0.96805</v>
      </c>
      <c r="V8" s="44" t="n">
        <f aca="false">'Debt Schedule'!V10</f>
        <v>-0.39249</v>
      </c>
      <c r="W8" s="44" t="n">
        <f aca="false">'Debt Schedule'!W10</f>
        <v>-0.209085</v>
      </c>
      <c r="X8" s="44" t="n">
        <f aca="false">'Debt Schedule'!X10</f>
        <v>-0</v>
      </c>
      <c r="Y8" s="44" t="n">
        <f aca="false">'Debt Schedule'!Y10</f>
        <v>-0</v>
      </c>
    </row>
    <row r="9" customFormat="false" ht="15" hidden="false" customHeight="true" outlineLevel="0" collapsed="false">
      <c r="A9" s="10" t="s">
        <v>220</v>
      </c>
      <c r="C9" s="44" t="n">
        <f aca="false">'Debt Schedule'!C12</f>
        <v>-3.8273367375</v>
      </c>
      <c r="D9" s="44" t="n">
        <f aca="false">'Debt Schedule'!D12</f>
        <v>-4.887558</v>
      </c>
      <c r="E9" s="44" t="n">
        <f aca="false">'Debt Schedule'!E12</f>
        <v>-5.1811965</v>
      </c>
      <c r="F9" s="44" t="n">
        <f aca="false">'Debt Schedule'!F12</f>
        <v>-5.7184293375</v>
      </c>
      <c r="G9" s="44" t="n">
        <f aca="false">'Debt Schedule'!G12</f>
        <v>-6.1061866875</v>
      </c>
      <c r="H9" s="44" t="n">
        <f aca="false">'Debt Schedule'!H12</f>
        <v>-6.52206690000001</v>
      </c>
      <c r="I9" s="44" t="n">
        <f aca="false">'Debt Schedule'!I12</f>
        <v>-6.6090382875</v>
      </c>
      <c r="J9" s="44" t="n">
        <f aca="false">'Debt Schedule'!J12</f>
        <v>-1.501025175</v>
      </c>
      <c r="K9" s="44" t="n">
        <f aca="false">'Debt Schedule'!K12</f>
        <v>-1.18237567500001</v>
      </c>
      <c r="L9" s="44" t="n">
        <f aca="false">'Debt Schedule'!L12</f>
        <v>-1.2256660125</v>
      </c>
      <c r="M9" s="44" t="n">
        <f aca="false">'Debt Schedule'!M12</f>
        <v>-0.938054925000002</v>
      </c>
      <c r="N9" s="44" t="n">
        <f aca="false">'Debt Schedule'!N12</f>
        <v>-1.010947725</v>
      </c>
      <c r="O9" s="44" t="n">
        <f aca="false">'Debt Schedule'!O12</f>
        <v>-1.5842638125</v>
      </c>
      <c r="P9" s="44" t="n">
        <f aca="false">'Debt Schedule'!P12</f>
        <v>-1.2776819625</v>
      </c>
      <c r="Q9" s="44" t="n">
        <f aca="false">'Debt Schedule'!Q12</f>
        <v>-0.928228387500001</v>
      </c>
      <c r="R9" s="44" t="n">
        <f aca="false">'Debt Schedule'!R12</f>
        <v>-0.582634012500003</v>
      </c>
      <c r="S9" s="44" t="n">
        <f aca="false">'Debt Schedule'!S12</f>
        <v>-0.188710875000002</v>
      </c>
      <c r="T9" s="44" t="n">
        <f aca="false">'Debt Schedule'!T12</f>
        <v>-0.1052404875</v>
      </c>
      <c r="U9" s="44" t="n">
        <f aca="false">'Debt Schedule'!U12</f>
        <v>-0.010112625</v>
      </c>
      <c r="V9" s="44" t="n">
        <f aca="false">'Debt Schedule'!V12</f>
        <v>-0</v>
      </c>
      <c r="W9" s="44" t="n">
        <f aca="false">'Debt Schedule'!W12</f>
        <v>-0</v>
      </c>
      <c r="X9" s="44" t="n">
        <f aca="false">'Debt Schedule'!X12</f>
        <v>-0</v>
      </c>
      <c r="Y9" s="44" t="n">
        <f aca="false">'Debt Schedule'!Y12</f>
        <v>-0</v>
      </c>
    </row>
    <row r="10" customFormat="false" ht="15" hidden="false" customHeight="true" outlineLevel="0" collapsed="false">
      <c r="A10" s="10" t="s">
        <v>221</v>
      </c>
      <c r="C10" s="44" t="n">
        <f aca="false">'Debt Schedule'!C13</f>
        <v>-2.664</v>
      </c>
      <c r="D10" s="44" t="n">
        <f aca="false">'Debt Schedule'!D13</f>
        <v>-0</v>
      </c>
      <c r="E10" s="44" t="n">
        <f aca="false">'Debt Schedule'!E13</f>
        <v>-0</v>
      </c>
      <c r="F10" s="44" t="n">
        <f aca="false">'Debt Schedule'!F13</f>
        <v>-0</v>
      </c>
      <c r="G10" s="44" t="n">
        <f aca="false">'Debt Schedule'!G13</f>
        <v>-0</v>
      </c>
      <c r="H10" s="44" t="n">
        <f aca="false">'Debt Schedule'!H13</f>
        <v>-0</v>
      </c>
      <c r="I10" s="44" t="n">
        <f aca="false">'Debt Schedule'!I13</f>
        <v>-0</v>
      </c>
      <c r="J10" s="44" t="n">
        <f aca="false">'Debt Schedule'!J13</f>
        <v>-0</v>
      </c>
      <c r="K10" s="44" t="n">
        <f aca="false">'Debt Schedule'!K13</f>
        <v>-0</v>
      </c>
      <c r="L10" s="44" t="n">
        <f aca="false">'Debt Schedule'!L13</f>
        <v>-0</v>
      </c>
      <c r="M10" s="44" t="n">
        <f aca="false">'Debt Schedule'!M13</f>
        <v>-0</v>
      </c>
      <c r="N10" s="44" t="n">
        <f aca="false">'Debt Schedule'!N13</f>
        <v>-0</v>
      </c>
      <c r="O10" s="44" t="n">
        <f aca="false">'Debt Schedule'!O13</f>
        <v>-0</v>
      </c>
      <c r="P10" s="44" t="n">
        <f aca="false">'Debt Schedule'!P13</f>
        <v>-0</v>
      </c>
      <c r="Q10" s="44" t="n">
        <f aca="false">'Debt Schedule'!Q13</f>
        <v>-0</v>
      </c>
      <c r="R10" s="44" t="n">
        <f aca="false">'Debt Schedule'!R13</f>
        <v>-0</v>
      </c>
      <c r="S10" s="44" t="n">
        <f aca="false">'Debt Schedule'!S13</f>
        <v>-0</v>
      </c>
      <c r="T10" s="44" t="n">
        <f aca="false">'Debt Schedule'!T13</f>
        <v>-0</v>
      </c>
      <c r="U10" s="44" t="n">
        <f aca="false">'Debt Schedule'!U13</f>
        <v>-0</v>
      </c>
      <c r="V10" s="44" t="n">
        <f aca="false">'Debt Schedule'!V13</f>
        <v>-0</v>
      </c>
      <c r="W10" s="44" t="n">
        <f aca="false">'Debt Schedule'!W13</f>
        <v>-0</v>
      </c>
      <c r="X10" s="44" t="n">
        <f aca="false">'Debt Schedule'!X13</f>
        <v>-0</v>
      </c>
      <c r="Y10" s="44" t="n">
        <f aca="false">'Debt Schedule'!Y13</f>
        <v>-0</v>
      </c>
    </row>
    <row r="11" customFormat="false" ht="15" hidden="false" customHeight="true" outlineLevel="0" collapsed="false">
      <c r="A11" s="38" t="s">
        <v>233</v>
      </c>
      <c r="C11" s="40" t="n">
        <f aca="false">SUM(C4:C10)</f>
        <v>8.9737682625</v>
      </c>
      <c r="D11" s="40" t="n">
        <f aca="false">SUM(D4:D10)</f>
        <v>17.484042</v>
      </c>
      <c r="E11" s="40" t="n">
        <f aca="false">SUM(E4:E10)</f>
        <v>25.1449035</v>
      </c>
      <c r="F11" s="40" t="n">
        <f aca="false">SUM(F4:F10)</f>
        <v>34.7368356625</v>
      </c>
      <c r="G11" s="40" t="n">
        <f aca="false">SUM(G4:G10)</f>
        <v>45.9523383125</v>
      </c>
      <c r="H11" s="40" t="n">
        <f aca="false">SUM(H4:H10)</f>
        <v>60.3091731</v>
      </c>
      <c r="I11" s="40" t="n">
        <f aca="false">SUM(I4:I10)</f>
        <v>76.9666467125</v>
      </c>
      <c r="J11" s="40" t="n">
        <f aca="false">SUM(J4:J10)</f>
        <v>85.860704825</v>
      </c>
      <c r="K11" s="40" t="n">
        <f aca="false">SUM(K4:K10)</f>
        <v>106.481354325</v>
      </c>
      <c r="L11" s="40" t="n">
        <f aca="false">SUM(L4:L10)</f>
        <v>117.2474289875</v>
      </c>
      <c r="M11" s="40" t="n">
        <f aca="false">SUM(M4:M10)</f>
        <v>122.756075075</v>
      </c>
      <c r="N11" s="40" t="n">
        <f aca="false">SUM(N4:N10)</f>
        <v>123.541362275</v>
      </c>
      <c r="O11" s="40" t="n">
        <f aca="false">SUM(O4:O10)</f>
        <v>117.3310111875</v>
      </c>
      <c r="P11" s="40" t="n">
        <f aca="false">SUM(P4:P10)</f>
        <v>102.1850330375</v>
      </c>
      <c r="Q11" s="40" t="n">
        <f aca="false">SUM(Q4:Q10)</f>
        <v>86.5459166125</v>
      </c>
      <c r="R11" s="40" t="n">
        <f aca="false">SUM(R4:R10)</f>
        <v>69.4250609875</v>
      </c>
      <c r="S11" s="40" t="n">
        <f aca="false">SUM(S4:S10)</f>
        <v>52.455339125</v>
      </c>
      <c r="T11" s="40" t="n">
        <f aca="false">SUM(T4:T10)</f>
        <v>32.1833645125</v>
      </c>
      <c r="U11" s="40" t="n">
        <f aca="false">SUM(U4:U10)</f>
        <v>19.160537375</v>
      </c>
      <c r="V11" s="40" t="n">
        <f aca="false">SUM(V4:V10)</f>
        <v>6.14741</v>
      </c>
      <c r="W11" s="40" t="n">
        <f aca="false">SUM(W4:W10)</f>
        <v>-0.991185</v>
      </c>
      <c r="X11" s="40" t="n">
        <f aca="false">SUM(X4:X10)</f>
        <v>0</v>
      </c>
      <c r="Y11" s="40" t="n">
        <f aca="false">SUM(Y4:Y10)</f>
        <v>0</v>
      </c>
    </row>
    <row r="12" customFormat="false" ht="15" hidden="false" customHeight="true" outlineLevel="0" collapsed="false">
      <c r="A12" s="10" t="s">
        <v>219</v>
      </c>
      <c r="C12" s="44" t="n">
        <f aca="false">'Debt Schedule'!C11</f>
        <v>-0.3860195</v>
      </c>
      <c r="D12" s="44" t="n">
        <f aca="false">'Debt Schedule'!D11</f>
        <v>-0.45322</v>
      </c>
      <c r="E12" s="44" t="n">
        <f aca="false">'Debt Schedule'!E11</f>
        <v>-0.53626</v>
      </c>
      <c r="F12" s="44" t="n">
        <f aca="false">'Debt Schedule'!F11</f>
        <v>-0.6309235</v>
      </c>
      <c r="G12" s="44" t="n">
        <f aca="false">'Debt Schedule'!G11</f>
        <v>-0.7448175</v>
      </c>
      <c r="H12" s="44" t="n">
        <f aca="false">'Debt Schedule'!H11</f>
        <v>-0.853676</v>
      </c>
      <c r="I12" s="44" t="n">
        <f aca="false">'Debt Schedule'!I11</f>
        <v>-0.9547815</v>
      </c>
      <c r="J12" s="44" t="n">
        <f aca="false">'Debt Schedule'!J11</f>
        <v>-0.719507</v>
      </c>
      <c r="K12" s="44" t="n">
        <f aca="false">'Debt Schedule'!K11</f>
        <v>-0.793827</v>
      </c>
      <c r="L12" s="44" t="n">
        <f aca="false">'Debt Schedule'!L11</f>
        <v>-0.8103905</v>
      </c>
      <c r="M12" s="44" t="n">
        <f aca="false">'Debt Schedule'!M11</f>
        <v>-0.819397</v>
      </c>
      <c r="N12" s="44" t="n">
        <f aca="false">'Debt Schedule'!N11</f>
        <v>-0.774009</v>
      </c>
      <c r="O12" s="44" t="n">
        <f aca="false">'Debt Schedule'!O11</f>
        <v>-0.6787025</v>
      </c>
      <c r="P12" s="44" t="n">
        <f aca="false">'Debt Schedule'!P11</f>
        <v>-0.5889285</v>
      </c>
      <c r="Q12" s="44" t="n">
        <f aca="false">'Debt Schedule'!Q11</f>
        <v>-0.4865855</v>
      </c>
      <c r="R12" s="44" t="n">
        <f aca="false">'Debt Schedule'!R11</f>
        <v>-0.3830105</v>
      </c>
      <c r="S12" s="44" t="n">
        <f aca="false">'Debt Schedule'!S11</f>
        <v>-0.264935</v>
      </c>
      <c r="T12" s="44" t="n">
        <f aca="false">'Debt Schedule'!T11</f>
        <v>-0.1863695</v>
      </c>
      <c r="U12" s="44" t="n">
        <f aca="false">'Debt Schedule'!U11</f>
        <v>-0.096805</v>
      </c>
      <c r="V12" s="44" t="n">
        <f aca="false">'Debt Schedule'!V11</f>
        <v>-0.039249</v>
      </c>
      <c r="W12" s="44" t="n">
        <f aca="false">'Debt Schedule'!W11</f>
        <v>-0.0209085</v>
      </c>
      <c r="X12" s="44" t="n">
        <f aca="false">'Debt Schedule'!X11</f>
        <v>-0</v>
      </c>
      <c r="Y12" s="44" t="n">
        <f aca="false">'Debt Schedule'!Y11</f>
        <v>-0</v>
      </c>
    </row>
    <row r="13" customFormat="false" ht="15" hidden="false" customHeight="true" outlineLevel="0" collapsed="false">
      <c r="A13" s="38" t="s">
        <v>234</v>
      </c>
      <c r="C13" s="40" t="n">
        <f aca="false">C12</f>
        <v>-0.3860195</v>
      </c>
      <c r="D13" s="40" t="n">
        <f aca="false">D12</f>
        <v>-0.45322</v>
      </c>
      <c r="E13" s="40" t="n">
        <f aca="false">E12</f>
        <v>-0.53626</v>
      </c>
      <c r="F13" s="40" t="n">
        <f aca="false">F12</f>
        <v>-0.6309235</v>
      </c>
      <c r="G13" s="40" t="n">
        <f aca="false">G12</f>
        <v>-0.7448175</v>
      </c>
      <c r="H13" s="40" t="n">
        <f aca="false">H12</f>
        <v>-0.853676</v>
      </c>
      <c r="I13" s="40" t="n">
        <f aca="false">I12</f>
        <v>-0.9547815</v>
      </c>
      <c r="J13" s="40" t="n">
        <f aca="false">J12</f>
        <v>-0.719507</v>
      </c>
      <c r="K13" s="40" t="n">
        <f aca="false">K12</f>
        <v>-0.793827</v>
      </c>
      <c r="L13" s="40" t="n">
        <f aca="false">L12</f>
        <v>-0.8103905</v>
      </c>
      <c r="M13" s="40" t="n">
        <f aca="false">M12</f>
        <v>-0.819397</v>
      </c>
      <c r="N13" s="40" t="n">
        <f aca="false">N12</f>
        <v>-0.774009</v>
      </c>
      <c r="O13" s="40" t="n">
        <f aca="false">O12</f>
        <v>-0.6787025</v>
      </c>
      <c r="P13" s="40" t="n">
        <f aca="false">P12</f>
        <v>-0.5889285</v>
      </c>
      <c r="Q13" s="40" t="n">
        <f aca="false">Q12</f>
        <v>-0.4865855</v>
      </c>
      <c r="R13" s="40" t="n">
        <f aca="false">R12</f>
        <v>-0.3830105</v>
      </c>
      <c r="S13" s="40" t="n">
        <f aca="false">S12</f>
        <v>-0.264935</v>
      </c>
      <c r="T13" s="40" t="n">
        <f aca="false">T12</f>
        <v>-0.1863695</v>
      </c>
      <c r="U13" s="40" t="n">
        <f aca="false">U12</f>
        <v>-0.096805</v>
      </c>
      <c r="V13" s="40" t="n">
        <f aca="false">V12</f>
        <v>-0.039249</v>
      </c>
      <c r="W13" s="40" t="n">
        <f aca="false">W12</f>
        <v>-0.0209085</v>
      </c>
      <c r="X13" s="40" t="n">
        <f aca="false">X12</f>
        <v>-0</v>
      </c>
      <c r="Y13" s="40" t="n">
        <f aca="false">Y12</f>
        <v>-0</v>
      </c>
    </row>
    <row r="14" customFormat="false" ht="15" hidden="false" customHeight="true" outlineLevel="0" collapsed="false">
      <c r="A14" s="10" t="s">
        <v>235</v>
      </c>
      <c r="C14" s="44" t="n">
        <f aca="false">'Debt Schedule'!C17</f>
        <v>-14.8</v>
      </c>
      <c r="D14" s="44" t="n">
        <f aca="false">'Debt Schedule'!D17</f>
        <v>-0</v>
      </c>
      <c r="E14" s="44" t="n">
        <f aca="false">'Debt Schedule'!E17</f>
        <v>-0</v>
      </c>
      <c r="F14" s="44" t="n">
        <f aca="false">'Debt Schedule'!F17</f>
        <v>-0</v>
      </c>
      <c r="G14" s="44" t="n">
        <f aca="false">'Debt Schedule'!G17</f>
        <v>-0</v>
      </c>
      <c r="H14" s="44" t="n">
        <f aca="false">'Debt Schedule'!H17</f>
        <v>-0</v>
      </c>
      <c r="I14" s="44" t="n">
        <f aca="false">'Debt Schedule'!I17</f>
        <v>-0</v>
      </c>
      <c r="J14" s="44" t="n">
        <f aca="false">'Debt Schedule'!J17</f>
        <v>-0</v>
      </c>
      <c r="K14" s="44" t="n">
        <f aca="false">'Debt Schedule'!K17</f>
        <v>-0</v>
      </c>
      <c r="L14" s="44" t="n">
        <f aca="false">'Debt Schedule'!L17</f>
        <v>-0</v>
      </c>
      <c r="M14" s="44" t="n">
        <f aca="false">'Debt Schedule'!M17</f>
        <v>-0</v>
      </c>
      <c r="N14" s="44" t="n">
        <f aca="false">'Debt Schedule'!N17</f>
        <v>-0</v>
      </c>
      <c r="O14" s="44" t="n">
        <f aca="false">'Debt Schedule'!O17</f>
        <v>-0</v>
      </c>
      <c r="P14" s="44" t="n">
        <f aca="false">'Debt Schedule'!P17</f>
        <v>-0</v>
      </c>
      <c r="Q14" s="44" t="n">
        <f aca="false">'Debt Schedule'!Q17</f>
        <v>-0</v>
      </c>
      <c r="R14" s="44" t="n">
        <f aca="false">'Debt Schedule'!R17</f>
        <v>-0</v>
      </c>
      <c r="S14" s="44" t="n">
        <f aca="false">'Debt Schedule'!S17</f>
        <v>-0</v>
      </c>
      <c r="T14" s="44" t="n">
        <f aca="false">'Debt Schedule'!T17</f>
        <v>-0</v>
      </c>
      <c r="U14" s="44" t="n">
        <f aca="false">'Debt Schedule'!U17</f>
        <v>-0</v>
      </c>
      <c r="V14" s="44" t="n">
        <f aca="false">'Debt Schedule'!V17</f>
        <v>-0</v>
      </c>
      <c r="W14" s="44" t="n">
        <f aca="false">'Debt Schedule'!W17</f>
        <v>-0</v>
      </c>
      <c r="X14" s="44" t="n">
        <f aca="false">'Debt Schedule'!X17</f>
        <v>-0</v>
      </c>
      <c r="Y14" s="44" t="n">
        <f aca="false">'Debt Schedule'!Y17</f>
        <v>-0</v>
      </c>
    </row>
    <row r="15" customFormat="false" ht="15" hidden="false" customHeight="true" outlineLevel="0" collapsed="false">
      <c r="A15" s="38" t="s">
        <v>236</v>
      </c>
      <c r="C15" s="40" t="n">
        <f aca="false">C14</f>
        <v>-14.8</v>
      </c>
      <c r="D15" s="40" t="n">
        <f aca="false">D14</f>
        <v>-0</v>
      </c>
      <c r="E15" s="40" t="n">
        <f aca="false">E14</f>
        <v>-0</v>
      </c>
      <c r="F15" s="40" t="n">
        <f aca="false">F14</f>
        <v>-0</v>
      </c>
      <c r="G15" s="40" t="n">
        <f aca="false">G14</f>
        <v>-0</v>
      </c>
      <c r="H15" s="40" t="n">
        <f aca="false">H14</f>
        <v>-0</v>
      </c>
      <c r="I15" s="40" t="n">
        <f aca="false">I14</f>
        <v>-0</v>
      </c>
      <c r="J15" s="40" t="n">
        <f aca="false">J14</f>
        <v>-0</v>
      </c>
      <c r="K15" s="40" t="n">
        <f aca="false">K14</f>
        <v>-0</v>
      </c>
      <c r="L15" s="40" t="n">
        <f aca="false">L14</f>
        <v>-0</v>
      </c>
      <c r="M15" s="40" t="n">
        <f aca="false">M14</f>
        <v>-0</v>
      </c>
      <c r="N15" s="40" t="n">
        <f aca="false">N14</f>
        <v>-0</v>
      </c>
      <c r="O15" s="40" t="n">
        <f aca="false">O14</f>
        <v>-0</v>
      </c>
      <c r="P15" s="40" t="n">
        <f aca="false">P14</f>
        <v>-0</v>
      </c>
      <c r="Q15" s="40" t="n">
        <f aca="false">Q14</f>
        <v>-0</v>
      </c>
      <c r="R15" s="40" t="n">
        <f aca="false">R14</f>
        <v>-0</v>
      </c>
      <c r="S15" s="40" t="n">
        <f aca="false">S14</f>
        <v>-0</v>
      </c>
      <c r="T15" s="40" t="n">
        <f aca="false">T14</f>
        <v>-0</v>
      </c>
      <c r="U15" s="40" t="n">
        <f aca="false">U14</f>
        <v>-0</v>
      </c>
      <c r="V15" s="40" t="n">
        <f aca="false">V14</f>
        <v>-0</v>
      </c>
      <c r="W15" s="40" t="n">
        <f aca="false">W14</f>
        <v>-0</v>
      </c>
      <c r="X15" s="40" t="n">
        <f aca="false">X14</f>
        <v>-0</v>
      </c>
      <c r="Y15" s="40" t="n">
        <f aca="false">Y14</f>
        <v>-0</v>
      </c>
    </row>
    <row r="16" customFormat="false" ht="15" hidden="false" customHeight="true" outlineLevel="0" collapsed="false">
      <c r="A16" s="38" t="s">
        <v>237</v>
      </c>
      <c r="C16" s="40" t="n">
        <f aca="false">C11+C13+C15</f>
        <v>-6.2122512375</v>
      </c>
      <c r="D16" s="40" t="n">
        <f aca="false">D11+D13+D15</f>
        <v>17.030822</v>
      </c>
      <c r="E16" s="40" t="n">
        <f aca="false">E11+E13+E15</f>
        <v>24.6086435</v>
      </c>
      <c r="F16" s="40" t="n">
        <f aca="false">F11+F13+F15</f>
        <v>34.1059121625</v>
      </c>
      <c r="G16" s="40" t="n">
        <f aca="false">G11+G13+G15</f>
        <v>45.2075208125</v>
      </c>
      <c r="H16" s="40" t="n">
        <f aca="false">H11+H13+H15</f>
        <v>59.4554971</v>
      </c>
      <c r="I16" s="40" t="n">
        <f aca="false">I11+I13+I15</f>
        <v>76.0118652125</v>
      </c>
      <c r="J16" s="40" t="n">
        <f aca="false">J11+J13+J15</f>
        <v>85.141197825</v>
      </c>
      <c r="K16" s="40" t="n">
        <f aca="false">K11+K13+K15</f>
        <v>105.687527325</v>
      </c>
      <c r="L16" s="40" t="n">
        <f aca="false">L11+L13+L15</f>
        <v>116.4370384875</v>
      </c>
      <c r="M16" s="40" t="n">
        <f aca="false">M11+M13+M15</f>
        <v>121.936678075</v>
      </c>
      <c r="N16" s="40" t="n">
        <f aca="false">N11+N13+N15</f>
        <v>122.767353275</v>
      </c>
      <c r="O16" s="40" t="n">
        <f aca="false">O11+O13+O15</f>
        <v>116.6523086875</v>
      </c>
      <c r="P16" s="40" t="n">
        <f aca="false">P11+P13+P15</f>
        <v>101.5961045375</v>
      </c>
      <c r="Q16" s="40" t="n">
        <f aca="false">Q11+Q13+Q15</f>
        <v>86.0593311125</v>
      </c>
      <c r="R16" s="40" t="n">
        <f aca="false">R11+R13+R15</f>
        <v>69.0420504875</v>
      </c>
      <c r="S16" s="40" t="n">
        <f aca="false">S11+S13+S15</f>
        <v>52.190404125</v>
      </c>
      <c r="T16" s="40" t="n">
        <f aca="false">T11+T13+T15</f>
        <v>31.9969950125</v>
      </c>
      <c r="U16" s="40" t="n">
        <f aca="false">U11+U13+U15</f>
        <v>19.063732375</v>
      </c>
      <c r="V16" s="40" t="n">
        <f aca="false">V11+V13+V15</f>
        <v>6.108161</v>
      </c>
      <c r="W16" s="40" t="n">
        <f aca="false">W11+W13+W15</f>
        <v>-1.0120935</v>
      </c>
      <c r="X16" s="40" t="n">
        <f aca="false">X11+X13+X15</f>
        <v>0</v>
      </c>
      <c r="Y16" s="40" t="n">
        <f aca="false">Y11+Y13+Y15</f>
        <v>0</v>
      </c>
    </row>
    <row r="17" customFormat="false" ht="15" hidden="false" customHeight="true" outlineLevel="0" collapsed="false">
      <c r="A17" s="10" t="s">
        <v>223</v>
      </c>
      <c r="C17" s="44" t="n">
        <f aca="false">'Debt Schedule'!C15</f>
        <v>86.7</v>
      </c>
      <c r="D17" s="44" t="n">
        <f aca="false">'Debt Schedule'!D15</f>
        <v>80.4877487625</v>
      </c>
      <c r="E17" s="44" t="n">
        <f aca="false">'Debt Schedule'!E15</f>
        <v>97.5185707625</v>
      </c>
      <c r="F17" s="44" t="n">
        <f aca="false">'Debt Schedule'!F15</f>
        <v>122.1272142625</v>
      </c>
      <c r="G17" s="44" t="n">
        <f aca="false">'Debt Schedule'!G15</f>
        <v>156.233126425</v>
      </c>
      <c r="H17" s="44" t="n">
        <f aca="false">'Debt Schedule'!H15</f>
        <v>201.4406472375</v>
      </c>
      <c r="I17" s="44" t="n">
        <f aca="false">'Debt Schedule'!I15</f>
        <v>260.8961443375</v>
      </c>
      <c r="J17" s="44" t="n">
        <f aca="false">'Debt Schedule'!J15</f>
        <v>336.90800955</v>
      </c>
      <c r="K17" s="44" t="n">
        <f aca="false">'Debt Schedule'!K15</f>
        <v>422.049207375</v>
      </c>
      <c r="L17" s="44" t="n">
        <f aca="false">'Debt Schedule'!L15</f>
        <v>527.7367347</v>
      </c>
      <c r="M17" s="44" t="n">
        <f aca="false">'Debt Schedule'!M15</f>
        <v>644.1737731875</v>
      </c>
      <c r="N17" s="44" t="n">
        <f aca="false">'Debt Schedule'!N15</f>
        <v>766.1104512625</v>
      </c>
      <c r="O17" s="44" t="n">
        <f aca="false">'Debt Schedule'!O15</f>
        <v>888.8778045375</v>
      </c>
      <c r="P17" s="44" t="n">
        <f aca="false">'Debt Schedule'!P15</f>
        <v>1005.530113225</v>
      </c>
      <c r="Q17" s="44" t="n">
        <f aca="false">'Debt Schedule'!Q15</f>
        <v>1107.1262177625</v>
      </c>
      <c r="R17" s="44" t="n">
        <f aca="false">'Debt Schedule'!R15</f>
        <v>1193.185548875</v>
      </c>
      <c r="S17" s="44" t="n">
        <f aca="false">'Debt Schedule'!S15</f>
        <v>1262.2275993625</v>
      </c>
      <c r="T17" s="44" t="n">
        <f aca="false">'Debt Schedule'!T15</f>
        <v>1314.4180034875</v>
      </c>
      <c r="U17" s="44" t="n">
        <f aca="false">'Debt Schedule'!U15</f>
        <v>1346.4149985</v>
      </c>
      <c r="V17" s="44" t="n">
        <f aca="false">'Debt Schedule'!V15</f>
        <v>1365.478730875</v>
      </c>
      <c r="W17" s="44" t="n">
        <f aca="false">'Debt Schedule'!W15</f>
        <v>1371.586891875</v>
      </c>
      <c r="X17" s="44" t="n">
        <f aca="false">'Debt Schedule'!X15</f>
        <v>1370.574798375</v>
      </c>
      <c r="Y17" s="44" t="n">
        <f aca="false">'Debt Schedule'!Y15</f>
        <v>1370.574798375</v>
      </c>
    </row>
    <row r="18" customFormat="false" ht="15" hidden="false" customHeight="true" outlineLevel="0" collapsed="false">
      <c r="A18" s="38" t="s">
        <v>227</v>
      </c>
      <c r="C18" s="40" t="n">
        <f aca="false">C17+C16</f>
        <v>80.4877487625</v>
      </c>
      <c r="D18" s="40" t="n">
        <f aca="false">D17+D16</f>
        <v>97.5185707625</v>
      </c>
      <c r="E18" s="40" t="n">
        <f aca="false">E17+E16</f>
        <v>122.1272142625</v>
      </c>
      <c r="F18" s="40" t="n">
        <f aca="false">F17+F16</f>
        <v>156.233126425</v>
      </c>
      <c r="G18" s="40" t="n">
        <f aca="false">G17+G16</f>
        <v>201.4406472375</v>
      </c>
      <c r="H18" s="40" t="n">
        <f aca="false">H17+H16</f>
        <v>260.8961443375</v>
      </c>
      <c r="I18" s="40" t="n">
        <f aca="false">I17+I16</f>
        <v>336.90800955</v>
      </c>
      <c r="J18" s="40" t="n">
        <f aca="false">J17+J16</f>
        <v>422.049207375</v>
      </c>
      <c r="K18" s="40" t="n">
        <f aca="false">K17+K16</f>
        <v>527.7367347</v>
      </c>
      <c r="L18" s="40" t="n">
        <f aca="false">L17+L16</f>
        <v>644.1737731875</v>
      </c>
      <c r="M18" s="40" t="n">
        <f aca="false">M17+M16</f>
        <v>766.1104512625</v>
      </c>
      <c r="N18" s="40" t="n">
        <f aca="false">N17+N16</f>
        <v>888.8778045375</v>
      </c>
      <c r="O18" s="40" t="n">
        <f aca="false">O17+O16</f>
        <v>1005.530113225</v>
      </c>
      <c r="P18" s="40" t="n">
        <f aca="false">P17+P16</f>
        <v>1107.1262177625</v>
      </c>
      <c r="Q18" s="40" t="n">
        <f aca="false">Q17+Q16</f>
        <v>1193.185548875</v>
      </c>
      <c r="R18" s="40" t="n">
        <f aca="false">R17+R16</f>
        <v>1262.2275993625</v>
      </c>
      <c r="S18" s="40" t="n">
        <f aca="false">S17+S16</f>
        <v>1314.4180034875</v>
      </c>
      <c r="T18" s="40" t="n">
        <f aca="false">T17+T16</f>
        <v>1346.4149985</v>
      </c>
      <c r="U18" s="40" t="n">
        <f aca="false">U17+U16</f>
        <v>1365.478730875</v>
      </c>
      <c r="V18" s="40" t="n">
        <f aca="false">V17+V16</f>
        <v>1371.586891875</v>
      </c>
      <c r="W18" s="40" t="n">
        <f aca="false">W17+W16</f>
        <v>1370.574798375</v>
      </c>
      <c r="X18" s="40" t="n">
        <f aca="false">X17+X16</f>
        <v>1370.574798375</v>
      </c>
      <c r="Y18" s="40" t="n">
        <f aca="false">Y17+Y16</f>
        <v>1370.574798375</v>
      </c>
    </row>
    <row r="19" customFormat="false" ht="15" hidden="false" customHeight="true" outlineLevel="0" collapsed="false">
      <c r="A19" s="10" t="s">
        <v>238</v>
      </c>
      <c r="C19" s="17" t="n">
        <f aca="false">C18-'Debt Schedule'!C19</f>
        <v>0</v>
      </c>
      <c r="D19" s="17" t="n">
        <f aca="false">D18-'Debt Schedule'!D19</f>
        <v>0</v>
      </c>
      <c r="E19" s="17" t="n">
        <f aca="false">E18-'Debt Schedule'!E19</f>
        <v>0</v>
      </c>
      <c r="F19" s="17" t="n">
        <f aca="false">F18-'Debt Schedule'!F19</f>
        <v>0</v>
      </c>
      <c r="G19" s="17" t="n">
        <f aca="false">G18-'Debt Schedule'!G19</f>
        <v>0</v>
      </c>
      <c r="H19" s="17" t="n">
        <f aca="false">H18-'Debt Schedule'!H19</f>
        <v>0</v>
      </c>
      <c r="I19" s="17" t="n">
        <f aca="false">I18-'Debt Schedule'!I19</f>
        <v>0</v>
      </c>
      <c r="J19" s="17" t="n">
        <f aca="false">J18-'Debt Schedule'!J19</f>
        <v>0</v>
      </c>
      <c r="K19" s="17" t="n">
        <f aca="false">K18-'Debt Schedule'!K19</f>
        <v>0</v>
      </c>
      <c r="L19" s="17" t="n">
        <f aca="false">L18-'Debt Schedule'!L19</f>
        <v>0</v>
      </c>
      <c r="M19" s="17" t="n">
        <f aca="false">M18-'Debt Schedule'!M19</f>
        <v>0</v>
      </c>
      <c r="N19" s="17" t="n">
        <f aca="false">N18-'Debt Schedule'!N19</f>
        <v>0</v>
      </c>
      <c r="O19" s="17" t="n">
        <f aca="false">O18-'Debt Schedule'!O19</f>
        <v>0</v>
      </c>
      <c r="P19" s="17" t="n">
        <f aca="false">P18-'Debt Schedule'!P19</f>
        <v>0</v>
      </c>
      <c r="Q19" s="17" t="n">
        <f aca="false">Q18-'Debt Schedule'!Q19</f>
        <v>0</v>
      </c>
      <c r="R19" s="17" t="n">
        <f aca="false">R18-'Debt Schedule'!R19</f>
        <v>0</v>
      </c>
      <c r="S19" s="17" t="n">
        <f aca="false">S18-'Debt Schedule'!S19</f>
        <v>0</v>
      </c>
      <c r="T19" s="17" t="n">
        <f aca="false">T18-'Debt Schedule'!T19</f>
        <v>0</v>
      </c>
      <c r="U19" s="17" t="n">
        <f aca="false">U18-'Debt Schedule'!U19</f>
        <v>0</v>
      </c>
      <c r="V19" s="17" t="n">
        <f aca="false">V18-'Debt Schedule'!V19</f>
        <v>0</v>
      </c>
      <c r="W19" s="17" t="n">
        <f aca="false">W18-'Debt Schedule'!W19</f>
        <v>0</v>
      </c>
      <c r="X19" s="17" t="n">
        <f aca="false">X18-'Debt Schedule'!X19</f>
        <v>0</v>
      </c>
      <c r="Y19" s="17" t="n">
        <f aca="false">Y18-'Debt Schedule'!Y19</f>
        <v>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Y2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0"/>
    <col collapsed="false" customWidth="true" hidden="false" outlineLevel="0" max="25" min="3" style="1" width="9"/>
  </cols>
  <sheetData>
    <row r="1" customFormat="false" ht="15.75" hidden="false" customHeight="true" outlineLevel="0" collapsed="false">
      <c r="A1" s="6" t="s">
        <v>239</v>
      </c>
      <c r="B1" s="7"/>
      <c r="C1" s="7"/>
      <c r="D1" s="7"/>
      <c r="E1" s="7"/>
      <c r="F1" s="7"/>
      <c r="G1" s="7"/>
      <c r="H1" s="7"/>
      <c r="I1" s="7"/>
      <c r="J1" s="7"/>
      <c r="K1" s="7"/>
      <c r="L1" s="7"/>
      <c r="M1" s="7"/>
      <c r="N1" s="7"/>
      <c r="O1" s="7"/>
      <c r="P1" s="7"/>
      <c r="Q1" s="7"/>
      <c r="R1" s="7"/>
      <c r="S1" s="7"/>
      <c r="T1" s="7"/>
      <c r="U1" s="7"/>
      <c r="V1" s="7"/>
      <c r="W1" s="7"/>
      <c r="X1" s="7"/>
      <c r="Y1" s="7"/>
    </row>
    <row r="2" customFormat="false" ht="15" hidden="false" customHeight="true" outlineLevel="0" collapsed="false">
      <c r="A2" s="8" t="s">
        <v>240</v>
      </c>
      <c r="B2" s="7"/>
      <c r="C2" s="7"/>
      <c r="D2" s="7"/>
      <c r="E2" s="7"/>
      <c r="F2" s="7"/>
      <c r="G2" s="7"/>
      <c r="H2" s="7"/>
      <c r="I2" s="7"/>
      <c r="J2" s="7"/>
      <c r="K2" s="7"/>
      <c r="L2" s="7"/>
      <c r="M2" s="7"/>
      <c r="N2" s="7"/>
      <c r="O2" s="7"/>
      <c r="P2" s="7"/>
      <c r="Q2" s="7"/>
      <c r="R2" s="7"/>
      <c r="S2" s="7"/>
      <c r="T2" s="7"/>
      <c r="U2" s="7"/>
      <c r="V2" s="7"/>
      <c r="W2" s="7"/>
      <c r="X2" s="7"/>
      <c r="Y2" s="7"/>
    </row>
    <row r="3" customFormat="false" ht="15" hidden="false" customHeight="true" outlineLevel="0" collapsed="false">
      <c r="A3" s="27" t="s">
        <v>165</v>
      </c>
      <c r="C3" s="42" t="s">
        <v>166</v>
      </c>
      <c r="D3" s="42" t="s">
        <v>167</v>
      </c>
      <c r="E3" s="42" t="s">
        <v>168</v>
      </c>
      <c r="F3" s="42" t="s">
        <v>169</v>
      </c>
      <c r="G3" s="42" t="s">
        <v>170</v>
      </c>
      <c r="H3" s="42" t="s">
        <v>171</v>
      </c>
      <c r="I3" s="42" t="s">
        <v>172</v>
      </c>
      <c r="J3" s="42" t="s">
        <v>173</v>
      </c>
      <c r="K3" s="42" t="s">
        <v>174</v>
      </c>
      <c r="L3" s="42" t="s">
        <v>175</v>
      </c>
      <c r="M3" s="42" t="s">
        <v>176</v>
      </c>
      <c r="N3" s="42" t="s">
        <v>177</v>
      </c>
      <c r="O3" s="42" t="s">
        <v>178</v>
      </c>
      <c r="P3" s="42" t="s">
        <v>179</v>
      </c>
      <c r="Q3" s="42" t="s">
        <v>180</v>
      </c>
      <c r="R3" s="42" t="s">
        <v>181</v>
      </c>
      <c r="S3" s="42" t="s">
        <v>182</v>
      </c>
      <c r="T3" s="42" t="s">
        <v>183</v>
      </c>
      <c r="U3" s="42" t="s">
        <v>184</v>
      </c>
      <c r="V3" s="42" t="s">
        <v>185</v>
      </c>
      <c r="W3" s="42" t="s">
        <v>186</v>
      </c>
      <c r="X3" s="42" t="s">
        <v>187</v>
      </c>
      <c r="Y3" s="42" t="s">
        <v>188</v>
      </c>
    </row>
    <row r="4" customFormat="false" ht="15" hidden="false" customHeight="true" outlineLevel="0" collapsed="false">
      <c r="A4" s="9" t="s">
        <v>241</v>
      </c>
    </row>
    <row r="5" customFormat="false" ht="15" hidden="false" customHeight="true" outlineLevel="0" collapsed="false">
      <c r="A5" s="10" t="s">
        <v>242</v>
      </c>
      <c r="C5" s="44" t="n">
        <f aca="false">'Debt Schedule'!C19</f>
        <v>80.4877487625</v>
      </c>
      <c r="D5" s="44" t="n">
        <f aca="false">'Debt Schedule'!D19</f>
        <v>97.5185707625</v>
      </c>
      <c r="E5" s="44" t="n">
        <f aca="false">'Debt Schedule'!E19</f>
        <v>122.1272142625</v>
      </c>
      <c r="F5" s="44" t="n">
        <f aca="false">'Debt Schedule'!F19</f>
        <v>156.233126425</v>
      </c>
      <c r="G5" s="44" t="n">
        <f aca="false">'Debt Schedule'!G19</f>
        <v>201.4406472375</v>
      </c>
      <c r="H5" s="44" t="n">
        <f aca="false">'Debt Schedule'!H19</f>
        <v>260.8961443375</v>
      </c>
      <c r="I5" s="44" t="n">
        <f aca="false">'Debt Schedule'!I19</f>
        <v>336.90800955</v>
      </c>
      <c r="J5" s="44" t="n">
        <f aca="false">'Debt Schedule'!J19</f>
        <v>422.049207375</v>
      </c>
      <c r="K5" s="44" t="n">
        <f aca="false">'Debt Schedule'!K19</f>
        <v>527.7367347</v>
      </c>
      <c r="L5" s="44" t="n">
        <f aca="false">'Debt Schedule'!L19</f>
        <v>644.1737731875</v>
      </c>
      <c r="M5" s="44" t="n">
        <f aca="false">'Debt Schedule'!M19</f>
        <v>766.1104512625</v>
      </c>
      <c r="N5" s="44" t="n">
        <f aca="false">'Debt Schedule'!N19</f>
        <v>888.8778045375</v>
      </c>
      <c r="O5" s="44" t="n">
        <f aca="false">'Debt Schedule'!O19</f>
        <v>1005.530113225</v>
      </c>
      <c r="P5" s="44" t="n">
        <f aca="false">'Debt Schedule'!P19</f>
        <v>1107.1262177625</v>
      </c>
      <c r="Q5" s="44" t="n">
        <f aca="false">'Debt Schedule'!Q19</f>
        <v>1193.185548875</v>
      </c>
      <c r="R5" s="44" t="n">
        <f aca="false">'Debt Schedule'!R19</f>
        <v>1262.2275993625</v>
      </c>
      <c r="S5" s="44" t="n">
        <f aca="false">'Debt Schedule'!S19</f>
        <v>1314.4180034875</v>
      </c>
      <c r="T5" s="44" t="n">
        <f aca="false">'Debt Schedule'!T19</f>
        <v>1346.4149985</v>
      </c>
      <c r="U5" s="44" t="n">
        <f aca="false">'Debt Schedule'!U19</f>
        <v>1365.478730875</v>
      </c>
      <c r="V5" s="44" t="n">
        <f aca="false">'Debt Schedule'!V19</f>
        <v>1371.586891875</v>
      </c>
      <c r="W5" s="44" t="n">
        <f aca="false">'Debt Schedule'!W19</f>
        <v>1370.574798375</v>
      </c>
      <c r="X5" s="44" t="n">
        <f aca="false">'Debt Schedule'!X19</f>
        <v>1370.574798375</v>
      </c>
      <c r="Y5" s="44" t="n">
        <f aca="false">'Debt Schedule'!Y19</f>
        <v>1370.574798375</v>
      </c>
    </row>
    <row r="6" customFormat="false" ht="15" hidden="false" customHeight="true" outlineLevel="0" collapsed="false">
      <c r="A6" s="10" t="s">
        <v>243</v>
      </c>
      <c r="C6" s="17" t="n">
        <f aca="false">MAX(C24,0)</f>
        <v>97.2619</v>
      </c>
      <c r="D6" s="17" t="n">
        <f aca="false">MAX(D24,0)</f>
        <v>122.5192</v>
      </c>
      <c r="E6" s="17" t="n">
        <f aca="false">MAX(E24,0)</f>
        <v>150.6214</v>
      </c>
      <c r="F6" s="17" t="n">
        <f aca="false">MAX(F24,0)</f>
        <v>181.8058</v>
      </c>
      <c r="G6" s="17" t="n">
        <f aca="false">MAX(G24,0)</f>
        <v>216.5258</v>
      </c>
      <c r="H6" s="17" t="n">
        <f aca="false">MAX(H24,0)</f>
        <v>252.3801</v>
      </c>
      <c r="I6" s="17" t="n">
        <f aca="false">MAX(I24,0)</f>
        <v>286.3832</v>
      </c>
      <c r="J6" s="17" t="n">
        <f aca="false">MAX(J24,0)</f>
        <v>296.3834</v>
      </c>
      <c r="K6" s="17" t="n">
        <f aca="false">MAX(K24,0)</f>
        <v>297.4426</v>
      </c>
      <c r="L6" s="17" t="n">
        <f aca="false">MAX(L24,0)</f>
        <v>293.6061</v>
      </c>
      <c r="M6" s="17" t="n">
        <f aca="false">MAX(M24,0)</f>
        <v>287.0485</v>
      </c>
      <c r="N6" s="17" t="n">
        <f aca="false">MAX(N24,0)</f>
        <v>276.6778</v>
      </c>
      <c r="O6" s="17" t="n">
        <f aca="false">MAX(O24,0)</f>
        <v>262.4257</v>
      </c>
      <c r="P6" s="17" t="n">
        <f aca="false">MAX(P24,0)</f>
        <v>249.8587</v>
      </c>
      <c r="Q6" s="17" t="n">
        <f aca="false">MAX(Q24,0)</f>
        <v>237.5852</v>
      </c>
      <c r="R6" s="17" t="n">
        <f aca="false">MAX(R24,0)</f>
        <v>226.8326</v>
      </c>
      <c r="S6" s="17" t="n">
        <f aca="false">MAX(S24,0)</f>
        <v>215.265699999999</v>
      </c>
      <c r="T6" s="17" t="n">
        <f aca="false">MAX(T24,0)</f>
        <v>211.916299999999</v>
      </c>
      <c r="U6" s="17" t="n">
        <f aca="false">MAX(U24,0)</f>
        <v>207.847399999999</v>
      </c>
      <c r="V6" s="17" t="n">
        <f aca="false">MAX(V24,0)</f>
        <v>207.689099999999</v>
      </c>
      <c r="W6" s="17" t="n">
        <f aca="false">MAX(W24,0)</f>
        <v>211.870799999999</v>
      </c>
      <c r="X6" s="17" t="n">
        <f aca="false">MAX(X24,0)</f>
        <v>211.870799999999</v>
      </c>
      <c r="Y6" s="17" t="n">
        <f aca="false">MAX(Y24,0)</f>
        <v>211.870799999999</v>
      </c>
    </row>
    <row r="7" customFormat="false" ht="15" hidden="false" customHeight="true" outlineLevel="0" collapsed="false">
      <c r="A7" s="10" t="s">
        <v>244</v>
      </c>
      <c r="C7" s="17" t="n">
        <f aca="false">C25</f>
        <v>159.324417472408</v>
      </c>
      <c r="D7" s="17" t="n">
        <f aca="false">D25</f>
        <v>152.660796818127</v>
      </c>
      <c r="E7" s="17" t="n">
        <f aca="false">E25</f>
        <v>144.776252420121</v>
      </c>
      <c r="F7" s="17" t="n">
        <f aca="false">F25</f>
        <v>135.499885830228</v>
      </c>
      <c r="G7" s="17" t="n">
        <f aca="false">G25</f>
        <v>124.548954104643</v>
      </c>
      <c r="H7" s="17" t="n">
        <f aca="false">H25</f>
        <v>111.997493388735</v>
      </c>
      <c r="I7" s="17" t="n">
        <f aca="false">I25</f>
        <v>97.9594947926332</v>
      </c>
      <c r="J7" s="17" t="n">
        <f aca="false">J25</f>
        <v>87.3806992714743</v>
      </c>
      <c r="K7" s="17" t="n">
        <f aca="false">K25</f>
        <v>75.7091887619519</v>
      </c>
      <c r="L7" s="17" t="n">
        <f aca="false">L25</f>
        <v>63.7941477800161</v>
      </c>
      <c r="M7" s="17" t="n">
        <f aca="false">M25</f>
        <v>51.7466856793681</v>
      </c>
      <c r="N7" s="17" t="n">
        <f aca="false">N25</f>
        <v>40.3665560315166</v>
      </c>
      <c r="O7" s="17" t="n">
        <f aca="false">O25</f>
        <v>30.3877025009752</v>
      </c>
      <c r="P7" s="17" t="n">
        <f aca="false">P25</f>
        <v>21.7287816314315</v>
      </c>
      <c r="Q7" s="17" t="n">
        <f aca="false">Q25</f>
        <v>14.5745934052421</v>
      </c>
      <c r="R7" s="17" t="n">
        <f aca="false">R25</f>
        <v>8.9432517199537</v>
      </c>
      <c r="S7" s="17" t="n">
        <f aca="false">S25</f>
        <v>5.04795509129238</v>
      </c>
      <c r="T7" s="17" t="n">
        <f aca="false">T25</f>
        <v>2.30779435361976</v>
      </c>
      <c r="U7" s="17" t="n">
        <f aca="false">U25</f>
        <v>0.884486032191646</v>
      </c>
      <c r="V7" s="17" t="n">
        <f aca="false">V25</f>
        <v>0.307414307510772</v>
      </c>
      <c r="W7" s="17" t="n">
        <f aca="false">W25</f>
        <v>0</v>
      </c>
      <c r="X7" s="17" t="n">
        <f aca="false">X25</f>
        <v>0</v>
      </c>
      <c r="Y7" s="17" t="n">
        <f aca="false">Y25</f>
        <v>0</v>
      </c>
    </row>
    <row r="8" customFormat="false" ht="15" hidden="false" customHeight="true" outlineLevel="0" collapsed="false">
      <c r="A8" s="10" t="s">
        <v>245</v>
      </c>
      <c r="C8" s="17" t="n">
        <f aca="false">Assumptions!$B$25</f>
        <v>110</v>
      </c>
      <c r="D8" s="17" t="n">
        <f aca="false">Assumptions!$B$25</f>
        <v>110</v>
      </c>
      <c r="E8" s="17" t="n">
        <f aca="false">Assumptions!$B$25</f>
        <v>110</v>
      </c>
      <c r="F8" s="17" t="n">
        <f aca="false">Assumptions!$B$25</f>
        <v>110</v>
      </c>
      <c r="G8" s="17" t="n">
        <f aca="false">Assumptions!$B$25</f>
        <v>110</v>
      </c>
      <c r="H8" s="17" t="n">
        <f aca="false">Assumptions!$B$25</f>
        <v>110</v>
      </c>
      <c r="I8" s="17" t="n">
        <f aca="false">Assumptions!$B$25</f>
        <v>110</v>
      </c>
      <c r="J8" s="17" t="n">
        <f aca="false">Assumptions!$B$25</f>
        <v>110</v>
      </c>
      <c r="K8" s="17" t="n">
        <f aca="false">Assumptions!$B$25</f>
        <v>110</v>
      </c>
      <c r="L8" s="17" t="n">
        <f aca="false">Assumptions!$B$25</f>
        <v>110</v>
      </c>
      <c r="M8" s="17" t="n">
        <f aca="false">Assumptions!$B$25</f>
        <v>110</v>
      </c>
      <c r="N8" s="17" t="n">
        <f aca="false">Assumptions!$B$25</f>
        <v>110</v>
      </c>
      <c r="O8" s="17" t="n">
        <f aca="false">Assumptions!$B$25</f>
        <v>110</v>
      </c>
      <c r="P8" s="17" t="n">
        <f aca="false">Assumptions!$B$25</f>
        <v>110</v>
      </c>
      <c r="Q8" s="17" t="n">
        <f aca="false">Assumptions!$B$25</f>
        <v>110</v>
      </c>
      <c r="R8" s="17" t="n">
        <f aca="false">Assumptions!$B$25</f>
        <v>110</v>
      </c>
      <c r="S8" s="17" t="n">
        <f aca="false">Assumptions!$B$25</f>
        <v>110</v>
      </c>
      <c r="T8" s="17" t="n">
        <f aca="false">Assumptions!$B$25</f>
        <v>110</v>
      </c>
      <c r="U8" s="17" t="n">
        <f aca="false">Assumptions!$B$25</f>
        <v>110</v>
      </c>
      <c r="V8" s="17" t="n">
        <f aca="false">Assumptions!$B$25</f>
        <v>110</v>
      </c>
      <c r="W8" s="17" t="n">
        <f aca="false">Assumptions!$B$25</f>
        <v>110</v>
      </c>
      <c r="X8" s="17" t="n">
        <f aca="false">Assumptions!$B$25</f>
        <v>110</v>
      </c>
      <c r="Y8" s="17" t="n">
        <f aca="false">Assumptions!$B$25</f>
        <v>110</v>
      </c>
    </row>
    <row r="9" customFormat="false" ht="15" hidden="false" customHeight="true" outlineLevel="0" collapsed="false">
      <c r="A9" s="38" t="s">
        <v>246</v>
      </c>
      <c r="C9" s="40" t="n">
        <f aca="false">C5+C6+C7+C8</f>
        <v>447.074066234908</v>
      </c>
      <c r="D9" s="40" t="n">
        <f aca="false">D5+D6+D7+D8</f>
        <v>482.698567580627</v>
      </c>
      <c r="E9" s="40" t="n">
        <f aca="false">E5+E6+E7+E8</f>
        <v>527.524866682621</v>
      </c>
      <c r="F9" s="40" t="n">
        <f aca="false">F5+F6+F7+F8</f>
        <v>583.538812255228</v>
      </c>
      <c r="G9" s="40" t="n">
        <f aca="false">G5+G6+G7+G8</f>
        <v>652.515401342143</v>
      </c>
      <c r="H9" s="40" t="n">
        <f aca="false">H5+H6+H7+H8</f>
        <v>735.273737726235</v>
      </c>
      <c r="I9" s="40" t="n">
        <f aca="false">I5+I6+I7+I8</f>
        <v>831.250704342633</v>
      </c>
      <c r="J9" s="40" t="n">
        <f aca="false">J5+J6+J7+J8</f>
        <v>915.813306646474</v>
      </c>
      <c r="K9" s="40" t="n">
        <f aca="false">K5+K6+K7+K8</f>
        <v>1010.88852346195</v>
      </c>
      <c r="L9" s="40" t="n">
        <f aca="false">L5+L6+L7+L8</f>
        <v>1111.57402096752</v>
      </c>
      <c r="M9" s="40" t="n">
        <f aca="false">M5+M6+M7+M8</f>
        <v>1214.90563694187</v>
      </c>
      <c r="N9" s="40" t="n">
        <f aca="false">N5+N6+N7+N8</f>
        <v>1315.92216056902</v>
      </c>
      <c r="O9" s="40" t="n">
        <f aca="false">O5+O6+O7+O8</f>
        <v>1408.34351572598</v>
      </c>
      <c r="P9" s="40" t="n">
        <f aca="false">P5+P6+P7+P8</f>
        <v>1488.71369939393</v>
      </c>
      <c r="Q9" s="40" t="n">
        <f aca="false">Q5+Q6+Q7+Q8</f>
        <v>1555.34534228024</v>
      </c>
      <c r="R9" s="40" t="n">
        <f aca="false">R5+R6+R7+R8</f>
        <v>1608.00345108245</v>
      </c>
      <c r="S9" s="40" t="n">
        <f aca="false">S5+S6+S7+S8</f>
        <v>1644.73165857879</v>
      </c>
      <c r="T9" s="40" t="n">
        <f aca="false">T5+T6+T7+T8</f>
        <v>1670.63909285362</v>
      </c>
      <c r="U9" s="40" t="n">
        <f aca="false">U5+U6+U7+U8</f>
        <v>1684.21061690719</v>
      </c>
      <c r="V9" s="40" t="n">
        <f aca="false">V5+V6+V7+V8</f>
        <v>1689.58340618251</v>
      </c>
      <c r="W9" s="40" t="n">
        <f aca="false">W5+W6+W7+W8</f>
        <v>1692.445598375</v>
      </c>
      <c r="X9" s="40" t="n">
        <f aca="false">X5+X6+X7+X8</f>
        <v>1692.445598375</v>
      </c>
      <c r="Y9" s="40" t="n">
        <f aca="false">Y5+Y6+Y7+Y8</f>
        <v>1692.445598375</v>
      </c>
    </row>
    <row r="10" customFormat="false" ht="15" hidden="false" customHeight="true" outlineLevel="0" collapsed="false">
      <c r="A10" s="9" t="s">
        <v>247</v>
      </c>
    </row>
    <row r="11" customFormat="false" ht="15" hidden="false" customHeight="true" outlineLevel="0" collapsed="false">
      <c r="A11" s="10" t="s">
        <v>248</v>
      </c>
      <c r="C11" s="44" t="n">
        <f aca="false">'Debt Schedule'!C18</f>
        <v>0</v>
      </c>
      <c r="D11" s="44" t="n">
        <f aca="false">'Debt Schedule'!D18</f>
        <v>0</v>
      </c>
      <c r="E11" s="44" t="n">
        <f aca="false">'Debt Schedule'!E18</f>
        <v>0</v>
      </c>
      <c r="F11" s="44" t="n">
        <f aca="false">'Debt Schedule'!F18</f>
        <v>0</v>
      </c>
      <c r="G11" s="44" t="n">
        <f aca="false">'Debt Schedule'!G18</f>
        <v>0</v>
      </c>
      <c r="H11" s="44" t="n">
        <f aca="false">'Debt Schedule'!H18</f>
        <v>0</v>
      </c>
      <c r="I11" s="44" t="n">
        <f aca="false">'Debt Schedule'!I18</f>
        <v>0</v>
      </c>
      <c r="J11" s="44" t="n">
        <f aca="false">'Debt Schedule'!J18</f>
        <v>0</v>
      </c>
      <c r="K11" s="44" t="n">
        <f aca="false">'Debt Schedule'!K18</f>
        <v>0</v>
      </c>
      <c r="L11" s="44" t="n">
        <f aca="false">'Debt Schedule'!L18</f>
        <v>0</v>
      </c>
      <c r="M11" s="44" t="n">
        <f aca="false">'Debt Schedule'!M18</f>
        <v>0</v>
      </c>
      <c r="N11" s="44" t="n">
        <f aca="false">'Debt Schedule'!N18</f>
        <v>0</v>
      </c>
      <c r="O11" s="44" t="n">
        <f aca="false">'Debt Schedule'!O18</f>
        <v>0</v>
      </c>
      <c r="P11" s="44" t="n">
        <f aca="false">'Debt Schedule'!P18</f>
        <v>0</v>
      </c>
      <c r="Q11" s="44" t="n">
        <f aca="false">'Debt Schedule'!Q18</f>
        <v>0</v>
      </c>
      <c r="R11" s="44" t="n">
        <f aca="false">'Debt Schedule'!R18</f>
        <v>0</v>
      </c>
      <c r="S11" s="44" t="n">
        <f aca="false">'Debt Schedule'!S18</f>
        <v>0</v>
      </c>
      <c r="T11" s="44" t="n">
        <f aca="false">'Debt Schedule'!T18</f>
        <v>0</v>
      </c>
      <c r="U11" s="44" t="n">
        <f aca="false">'Debt Schedule'!U18</f>
        <v>0</v>
      </c>
      <c r="V11" s="44" t="n">
        <f aca="false">'Debt Schedule'!V18</f>
        <v>0</v>
      </c>
      <c r="W11" s="44" t="n">
        <f aca="false">'Debt Schedule'!W18</f>
        <v>0</v>
      </c>
      <c r="X11" s="44" t="n">
        <f aca="false">'Debt Schedule'!X18</f>
        <v>0</v>
      </c>
      <c r="Y11" s="44" t="n">
        <f aca="false">'Debt Schedule'!Y18</f>
        <v>0</v>
      </c>
    </row>
    <row r="12" customFormat="false" ht="15" hidden="false" customHeight="true" outlineLevel="0" collapsed="false">
      <c r="A12" s="10" t="s">
        <v>249</v>
      </c>
      <c r="C12" s="17" t="n">
        <f aca="false">MAX(-C24,0)</f>
        <v>0</v>
      </c>
      <c r="D12" s="17" t="n">
        <f aca="false">MAX(-D24,0)</f>
        <v>0</v>
      </c>
      <c r="E12" s="17" t="n">
        <f aca="false">MAX(-E24,0)</f>
        <v>0</v>
      </c>
      <c r="F12" s="17" t="n">
        <f aca="false">MAX(-F24,0)</f>
        <v>0</v>
      </c>
      <c r="G12" s="17" t="n">
        <f aca="false">MAX(-G24,0)</f>
        <v>0</v>
      </c>
      <c r="H12" s="17" t="n">
        <f aca="false">MAX(-H24,0)</f>
        <v>0</v>
      </c>
      <c r="I12" s="17" t="n">
        <f aca="false">MAX(-I24,0)</f>
        <v>0</v>
      </c>
      <c r="J12" s="17" t="n">
        <f aca="false">MAX(-J24,0)</f>
        <v>0</v>
      </c>
      <c r="K12" s="17" t="n">
        <f aca="false">MAX(-K24,0)</f>
        <v>0</v>
      </c>
      <c r="L12" s="17" t="n">
        <f aca="false">MAX(-L24,0)</f>
        <v>0</v>
      </c>
      <c r="M12" s="17" t="n">
        <f aca="false">MAX(-M24,0)</f>
        <v>0</v>
      </c>
      <c r="N12" s="17" t="n">
        <f aca="false">MAX(-N24,0)</f>
        <v>0</v>
      </c>
      <c r="O12" s="17" t="n">
        <f aca="false">MAX(-O24,0)</f>
        <v>0</v>
      </c>
      <c r="P12" s="17" t="n">
        <f aca="false">MAX(-P24,0)</f>
        <v>0</v>
      </c>
      <c r="Q12" s="17" t="n">
        <f aca="false">MAX(-Q24,0)</f>
        <v>0</v>
      </c>
      <c r="R12" s="17" t="n">
        <f aca="false">MAX(-R24,0)</f>
        <v>0</v>
      </c>
      <c r="S12" s="17" t="n">
        <f aca="false">MAX(-S24,0)</f>
        <v>0</v>
      </c>
      <c r="T12" s="17" t="n">
        <f aca="false">MAX(-T24,0)</f>
        <v>0</v>
      </c>
      <c r="U12" s="17" t="n">
        <f aca="false">MAX(-U24,0)</f>
        <v>0</v>
      </c>
      <c r="V12" s="17" t="n">
        <f aca="false">MAX(-V24,0)</f>
        <v>0</v>
      </c>
      <c r="W12" s="17" t="n">
        <f aca="false">MAX(-W24,0)</f>
        <v>0</v>
      </c>
      <c r="X12" s="17" t="n">
        <f aca="false">MAX(-X24,0)</f>
        <v>0</v>
      </c>
      <c r="Y12" s="17" t="n">
        <f aca="false">MAX(-Y24,0)</f>
        <v>0</v>
      </c>
    </row>
    <row r="13" customFormat="false" ht="15" hidden="false" customHeight="true" outlineLevel="0" collapsed="false">
      <c r="A13" s="10" t="s">
        <v>250</v>
      </c>
      <c r="C13" s="17" t="n">
        <f aca="false">Assumptions!$B$26</f>
        <v>40</v>
      </c>
      <c r="D13" s="17" t="n">
        <f aca="false">Assumptions!$B$26</f>
        <v>40</v>
      </c>
      <c r="E13" s="17" t="n">
        <f aca="false">Assumptions!$B$26</f>
        <v>40</v>
      </c>
      <c r="F13" s="17" t="n">
        <f aca="false">Assumptions!$B$26</f>
        <v>40</v>
      </c>
      <c r="G13" s="17" t="n">
        <f aca="false">Assumptions!$B$26</f>
        <v>40</v>
      </c>
      <c r="H13" s="17" t="n">
        <f aca="false">Assumptions!$B$26</f>
        <v>40</v>
      </c>
      <c r="I13" s="17" t="n">
        <f aca="false">Assumptions!$B$26</f>
        <v>40</v>
      </c>
      <c r="J13" s="17" t="n">
        <f aca="false">Assumptions!$B$26</f>
        <v>40</v>
      </c>
      <c r="K13" s="17" t="n">
        <f aca="false">Assumptions!$B$26</f>
        <v>40</v>
      </c>
      <c r="L13" s="17" t="n">
        <f aca="false">Assumptions!$B$26</f>
        <v>40</v>
      </c>
      <c r="M13" s="17" t="n">
        <f aca="false">Assumptions!$B$26</f>
        <v>40</v>
      </c>
      <c r="N13" s="17" t="n">
        <f aca="false">Assumptions!$B$26</f>
        <v>40</v>
      </c>
      <c r="O13" s="17" t="n">
        <f aca="false">Assumptions!$B$26</f>
        <v>40</v>
      </c>
      <c r="P13" s="17" t="n">
        <f aca="false">Assumptions!$B$26</f>
        <v>40</v>
      </c>
      <c r="Q13" s="17" t="n">
        <f aca="false">Assumptions!$B$26</f>
        <v>40</v>
      </c>
      <c r="R13" s="17" t="n">
        <f aca="false">Assumptions!$B$26</f>
        <v>40</v>
      </c>
      <c r="S13" s="17" t="n">
        <f aca="false">Assumptions!$B$26</f>
        <v>40</v>
      </c>
      <c r="T13" s="17" t="n">
        <f aca="false">Assumptions!$B$26</f>
        <v>40</v>
      </c>
      <c r="U13" s="17" t="n">
        <f aca="false">Assumptions!$B$26</f>
        <v>40</v>
      </c>
      <c r="V13" s="17" t="n">
        <f aca="false">Assumptions!$B$26</f>
        <v>40</v>
      </c>
      <c r="W13" s="17" t="n">
        <f aca="false">Assumptions!$B$26</f>
        <v>40</v>
      </c>
      <c r="X13" s="17" t="n">
        <f aca="false">Assumptions!$B$26</f>
        <v>40</v>
      </c>
      <c r="Y13" s="17" t="n">
        <f aca="false">Assumptions!$B$26</f>
        <v>40</v>
      </c>
    </row>
    <row r="14" customFormat="false" ht="15" hidden="false" customHeight="true" outlineLevel="0" collapsed="false">
      <c r="A14" s="10" t="s">
        <v>251</v>
      </c>
      <c r="C14" s="17" t="n">
        <f aca="false">Assumptions!$B$27</f>
        <v>223.7</v>
      </c>
      <c r="D14" s="17" t="n">
        <f aca="false">Assumptions!$B$27</f>
        <v>223.7</v>
      </c>
      <c r="E14" s="17" t="n">
        <f aca="false">Assumptions!$B$27</f>
        <v>223.7</v>
      </c>
      <c r="F14" s="17" t="n">
        <f aca="false">Assumptions!$B$27</f>
        <v>223.7</v>
      </c>
      <c r="G14" s="17" t="n">
        <f aca="false">Assumptions!$B$27</f>
        <v>223.7</v>
      </c>
      <c r="H14" s="17" t="n">
        <f aca="false">Assumptions!$B$27</f>
        <v>223.7</v>
      </c>
      <c r="I14" s="17" t="n">
        <f aca="false">Assumptions!$B$27</f>
        <v>223.7</v>
      </c>
      <c r="J14" s="17" t="n">
        <f aca="false">Assumptions!$B$27</f>
        <v>223.7</v>
      </c>
      <c r="K14" s="17" t="n">
        <f aca="false">Assumptions!$B$27</f>
        <v>223.7</v>
      </c>
      <c r="L14" s="17" t="n">
        <f aca="false">Assumptions!$B$27</f>
        <v>223.7</v>
      </c>
      <c r="M14" s="17" t="n">
        <f aca="false">Assumptions!$B$27</f>
        <v>223.7</v>
      </c>
      <c r="N14" s="17" t="n">
        <f aca="false">Assumptions!$B$27</f>
        <v>223.7</v>
      </c>
      <c r="O14" s="17" t="n">
        <f aca="false">Assumptions!$B$27</f>
        <v>223.7</v>
      </c>
      <c r="P14" s="17" t="n">
        <f aca="false">Assumptions!$B$27</f>
        <v>223.7</v>
      </c>
      <c r="Q14" s="17" t="n">
        <f aca="false">Assumptions!$B$27</f>
        <v>223.7</v>
      </c>
      <c r="R14" s="17" t="n">
        <f aca="false">Assumptions!$B$27</f>
        <v>223.7</v>
      </c>
      <c r="S14" s="17" t="n">
        <f aca="false">Assumptions!$B$27</f>
        <v>223.7</v>
      </c>
      <c r="T14" s="17" t="n">
        <f aca="false">Assumptions!$B$27</f>
        <v>223.7</v>
      </c>
      <c r="U14" s="17" t="n">
        <f aca="false">Assumptions!$B$27</f>
        <v>223.7</v>
      </c>
      <c r="V14" s="17" t="n">
        <f aca="false">Assumptions!$B$27</f>
        <v>223.7</v>
      </c>
      <c r="W14" s="17" t="n">
        <f aca="false">Assumptions!$B$27</f>
        <v>223.7</v>
      </c>
      <c r="X14" s="17" t="n">
        <f aca="false">Assumptions!$B$27</f>
        <v>223.7</v>
      </c>
      <c r="Y14" s="17" t="n">
        <f aca="false">Assumptions!$B$27</f>
        <v>223.7</v>
      </c>
    </row>
    <row r="15" customFormat="false" ht="15" hidden="false" customHeight="true" outlineLevel="0" collapsed="false">
      <c r="A15" s="38" t="s">
        <v>252</v>
      </c>
      <c r="C15" s="40" t="n">
        <f aca="false">C11+C12+C13+C14</f>
        <v>263.7</v>
      </c>
      <c r="D15" s="40" t="n">
        <f aca="false">D11+D12+D13+D14</f>
        <v>263.7</v>
      </c>
      <c r="E15" s="40" t="n">
        <f aca="false">E11+E12+E13+E14</f>
        <v>263.7</v>
      </c>
      <c r="F15" s="40" t="n">
        <f aca="false">F11+F12+F13+F14</f>
        <v>263.7</v>
      </c>
      <c r="G15" s="40" t="n">
        <f aca="false">G11+G12+G13+G14</f>
        <v>263.7</v>
      </c>
      <c r="H15" s="40" t="n">
        <f aca="false">H11+H12+H13+H14</f>
        <v>263.7</v>
      </c>
      <c r="I15" s="40" t="n">
        <f aca="false">I11+I12+I13+I14</f>
        <v>263.7</v>
      </c>
      <c r="J15" s="40" t="n">
        <f aca="false">J11+J12+J13+J14</f>
        <v>263.7</v>
      </c>
      <c r="K15" s="40" t="n">
        <f aca="false">K11+K12+K13+K14</f>
        <v>263.7</v>
      </c>
      <c r="L15" s="40" t="n">
        <f aca="false">L11+L12+L13+L14</f>
        <v>263.7</v>
      </c>
      <c r="M15" s="40" t="n">
        <f aca="false">M11+M12+M13+M14</f>
        <v>263.7</v>
      </c>
      <c r="N15" s="40" t="n">
        <f aca="false">N11+N12+N13+N14</f>
        <v>263.7</v>
      </c>
      <c r="O15" s="40" t="n">
        <f aca="false">O11+O12+O13+O14</f>
        <v>263.7</v>
      </c>
      <c r="P15" s="40" t="n">
        <f aca="false">P11+P12+P13+P14</f>
        <v>263.7</v>
      </c>
      <c r="Q15" s="40" t="n">
        <f aca="false">Q11+Q12+Q13+Q14</f>
        <v>263.7</v>
      </c>
      <c r="R15" s="40" t="n">
        <f aca="false">R11+R12+R13+R14</f>
        <v>263.7</v>
      </c>
      <c r="S15" s="40" t="n">
        <f aca="false">S11+S12+S13+S14</f>
        <v>263.7</v>
      </c>
      <c r="T15" s="40" t="n">
        <f aca="false">T11+T12+T13+T14</f>
        <v>263.7</v>
      </c>
      <c r="U15" s="40" t="n">
        <f aca="false">U11+U12+U13+U14</f>
        <v>263.7</v>
      </c>
      <c r="V15" s="40" t="n">
        <f aca="false">V11+V12+V13+V14</f>
        <v>263.7</v>
      </c>
      <c r="W15" s="40" t="n">
        <f aca="false">W11+W12+W13+W14</f>
        <v>263.7</v>
      </c>
      <c r="X15" s="40" t="n">
        <f aca="false">X11+X12+X13+X14</f>
        <v>263.7</v>
      </c>
      <c r="Y15" s="40" t="n">
        <f aca="false">Y11+Y12+Y13+Y14</f>
        <v>263.7</v>
      </c>
    </row>
    <row r="16" customFormat="false" ht="15" hidden="false" customHeight="true" outlineLevel="0" collapsed="false">
      <c r="A16" s="9" t="s">
        <v>253</v>
      </c>
    </row>
    <row r="17" customFormat="false" ht="15" hidden="false" customHeight="true" outlineLevel="0" collapsed="false">
      <c r="A17" s="10" t="s">
        <v>254</v>
      </c>
      <c r="C17" s="17" t="n">
        <f aca="false">Assumptions!$B$8+'Income Statement'!C18</f>
        <v>170.8830487625</v>
      </c>
      <c r="D17" s="17" t="n">
        <f aca="false">C17+'Income Statement'!D18</f>
        <v>187.7179707625</v>
      </c>
      <c r="E17" s="17" t="n">
        <f aca="false">D17+'Income Statement'!E18</f>
        <v>205.5643142625</v>
      </c>
      <c r="F17" s="17" t="n">
        <f aca="false">E17+'Income Statement'!F18</f>
        <v>225.261126425</v>
      </c>
      <c r="G17" s="17" t="n">
        <f aca="false">F17+'Income Statement'!G18</f>
        <v>246.2935472375</v>
      </c>
      <c r="H17" s="17" t="n">
        <f aca="false">G17+'Income Statement'!H18</f>
        <v>268.7584443375</v>
      </c>
      <c r="I17" s="17" t="n">
        <f aca="false">H17+'Income Statement'!I18</f>
        <v>291.52290955</v>
      </c>
      <c r="J17" s="17" t="n">
        <f aca="false">I17+'Income Statement'!J18</f>
        <v>296.693107375</v>
      </c>
      <c r="K17" s="17" t="n">
        <f aca="false">J17+'Income Statement'!K18</f>
        <v>300.7657347</v>
      </c>
      <c r="L17" s="17" t="n">
        <f aca="false">K17+'Income Statement'!L18</f>
        <v>304.9874731875</v>
      </c>
      <c r="M17" s="17" t="n">
        <f aca="false">L17+'Income Statement'!M18</f>
        <v>308.2185512625</v>
      </c>
      <c r="N17" s="17" t="n">
        <f aca="false">M17+'Income Statement'!N18</f>
        <v>311.7007045375</v>
      </c>
      <c r="O17" s="17" t="n">
        <f aca="false">N17+'Income Statement'!O18</f>
        <v>317.157613225</v>
      </c>
      <c r="P17" s="17" t="n">
        <f aca="false">O17+'Income Statement'!P18</f>
        <v>321.5585177625</v>
      </c>
      <c r="Q17" s="17" t="n">
        <f aca="false">P17+'Income Statement'!Q18</f>
        <v>324.755748875</v>
      </c>
      <c r="R17" s="17" t="n">
        <f aca="false">Q17+'Income Statement'!R18</f>
        <v>326.7625993625</v>
      </c>
      <c r="S17" s="17" t="n">
        <f aca="false">R17+'Income Statement'!S18</f>
        <v>327.4126034875</v>
      </c>
      <c r="T17" s="17" t="n">
        <f aca="false">S17+'Income Statement'!T18</f>
        <v>327.7750985</v>
      </c>
      <c r="U17" s="17" t="n">
        <f aca="false">T17+'Income Statement'!U18</f>
        <v>327.809930875</v>
      </c>
      <c r="V17" s="17" t="n">
        <f aca="false">U17+'Income Statement'!V18</f>
        <v>327.016891875</v>
      </c>
      <c r="W17" s="17" t="n">
        <f aca="false">V17+'Income Statement'!W18</f>
        <v>326.594498375</v>
      </c>
      <c r="X17" s="17" t="n">
        <f aca="false">W17+'Income Statement'!X18</f>
        <v>326.594498375</v>
      </c>
      <c r="Y17" s="17" t="n">
        <f aca="false">X17+'Income Statement'!Y18</f>
        <v>326.594498375</v>
      </c>
    </row>
    <row r="18" customFormat="false" ht="15" hidden="false" customHeight="true" outlineLevel="0" collapsed="false">
      <c r="A18" s="38" t="s">
        <v>255</v>
      </c>
      <c r="C18" s="40" t="n">
        <f aca="false">C17+C27</f>
        <v>183.374066234908</v>
      </c>
      <c r="D18" s="40" t="n">
        <f aca="false">D17+D27</f>
        <v>218.998567580627</v>
      </c>
      <c r="E18" s="40" t="n">
        <f aca="false">E17+E27</f>
        <v>263.824866682621</v>
      </c>
      <c r="F18" s="40" t="n">
        <f aca="false">F17+F27</f>
        <v>319.838812255228</v>
      </c>
      <c r="G18" s="40" t="n">
        <f aca="false">G17+G27</f>
        <v>388.815401342143</v>
      </c>
      <c r="H18" s="40" t="n">
        <f aca="false">H17+H27</f>
        <v>471.573737726235</v>
      </c>
      <c r="I18" s="40" t="n">
        <f aca="false">I17+I27</f>
        <v>567.550704342633</v>
      </c>
      <c r="J18" s="40" t="n">
        <f aca="false">J17+J27</f>
        <v>652.113306646474</v>
      </c>
      <c r="K18" s="40" t="n">
        <f aca="false">K17+K27</f>
        <v>747.188523461952</v>
      </c>
      <c r="L18" s="40" t="n">
        <f aca="false">L17+L27</f>
        <v>847.874020967516</v>
      </c>
      <c r="M18" s="40" t="n">
        <f aca="false">M17+M27</f>
        <v>951.205636941868</v>
      </c>
      <c r="N18" s="40" t="n">
        <f aca="false">N17+N27</f>
        <v>1052.22216056902</v>
      </c>
      <c r="O18" s="40" t="n">
        <f aca="false">O17+O27</f>
        <v>1144.64351572598</v>
      </c>
      <c r="P18" s="40" t="n">
        <f aca="false">P17+P27</f>
        <v>1225.01369939393</v>
      </c>
      <c r="Q18" s="40" t="n">
        <f aca="false">Q17+Q27</f>
        <v>1291.64534228024</v>
      </c>
      <c r="R18" s="40" t="n">
        <f aca="false">R17+R27</f>
        <v>1344.30345108245</v>
      </c>
      <c r="S18" s="40" t="n">
        <f aca="false">S17+S27</f>
        <v>1381.03165857879</v>
      </c>
      <c r="T18" s="40" t="n">
        <f aca="false">T17+T27</f>
        <v>1406.93909285362</v>
      </c>
      <c r="U18" s="40" t="n">
        <f aca="false">U17+U27</f>
        <v>1420.51061690719</v>
      </c>
      <c r="V18" s="40" t="n">
        <f aca="false">V17+V27</f>
        <v>1425.88340618251</v>
      </c>
      <c r="W18" s="40" t="n">
        <f aca="false">W17+W27</f>
        <v>1428.745598375</v>
      </c>
      <c r="X18" s="40" t="n">
        <f aca="false">X17+X27</f>
        <v>1428.745598375</v>
      </c>
      <c r="Y18" s="40" t="n">
        <f aca="false">Y17+Y27</f>
        <v>1428.745598375</v>
      </c>
    </row>
    <row r="19" customFormat="false" ht="15" hidden="false" customHeight="true" outlineLevel="0" collapsed="false">
      <c r="A19" s="38" t="s">
        <v>256</v>
      </c>
      <c r="C19" s="40" t="n">
        <f aca="false">C15+C18</f>
        <v>447.074066234908</v>
      </c>
      <c r="D19" s="40" t="n">
        <f aca="false">D15+D18</f>
        <v>482.698567580627</v>
      </c>
      <c r="E19" s="40" t="n">
        <f aca="false">E15+E18</f>
        <v>527.524866682621</v>
      </c>
      <c r="F19" s="40" t="n">
        <f aca="false">F15+F18</f>
        <v>583.538812255228</v>
      </c>
      <c r="G19" s="40" t="n">
        <f aca="false">G15+G18</f>
        <v>652.515401342143</v>
      </c>
      <c r="H19" s="40" t="n">
        <f aca="false">H15+H18</f>
        <v>735.273737726235</v>
      </c>
      <c r="I19" s="40" t="n">
        <f aca="false">I15+I18</f>
        <v>831.250704342633</v>
      </c>
      <c r="J19" s="40" t="n">
        <f aca="false">J15+J18</f>
        <v>915.813306646474</v>
      </c>
      <c r="K19" s="40" t="n">
        <f aca="false">K15+K18</f>
        <v>1010.88852346195</v>
      </c>
      <c r="L19" s="40" t="n">
        <f aca="false">L15+L18</f>
        <v>1111.57402096752</v>
      </c>
      <c r="M19" s="40" t="n">
        <f aca="false">M15+M18</f>
        <v>1214.90563694187</v>
      </c>
      <c r="N19" s="40" t="n">
        <f aca="false">N15+N18</f>
        <v>1315.92216056902</v>
      </c>
      <c r="O19" s="40" t="n">
        <f aca="false">O15+O18</f>
        <v>1408.34351572598</v>
      </c>
      <c r="P19" s="40" t="n">
        <f aca="false">P15+P18</f>
        <v>1488.71369939393</v>
      </c>
      <c r="Q19" s="40" t="n">
        <f aca="false">Q15+Q18</f>
        <v>1555.34534228024</v>
      </c>
      <c r="R19" s="40" t="n">
        <f aca="false">R15+R18</f>
        <v>1608.00345108245</v>
      </c>
      <c r="S19" s="40" t="n">
        <f aca="false">S15+S18</f>
        <v>1644.73165857879</v>
      </c>
      <c r="T19" s="40" t="n">
        <f aca="false">T15+T18</f>
        <v>1670.63909285362</v>
      </c>
      <c r="U19" s="40" t="n">
        <f aca="false">U15+U18</f>
        <v>1684.21061690719</v>
      </c>
      <c r="V19" s="40" t="n">
        <f aca="false">V15+V18</f>
        <v>1689.58340618251</v>
      </c>
      <c r="W19" s="40" t="n">
        <f aca="false">W15+W18</f>
        <v>1692.445598375</v>
      </c>
      <c r="X19" s="40" t="n">
        <f aca="false">X15+X18</f>
        <v>1692.445598375</v>
      </c>
      <c r="Y19" s="40" t="n">
        <f aca="false">Y15+Y18</f>
        <v>1692.445598375</v>
      </c>
    </row>
    <row r="20" customFormat="false" ht="15" hidden="false" customHeight="true" outlineLevel="0" collapsed="false">
      <c r="A20" s="10" t="s">
        <v>238</v>
      </c>
      <c r="C20" s="17" t="n">
        <f aca="false">C9-C19</f>
        <v>0</v>
      </c>
      <c r="D20" s="17" t="n">
        <f aca="false">D9-D19</f>
        <v>0</v>
      </c>
      <c r="E20" s="17" t="n">
        <f aca="false">E9-E19</f>
        <v>0</v>
      </c>
      <c r="F20" s="17" t="n">
        <f aca="false">F9-F19</f>
        <v>0</v>
      </c>
      <c r="G20" s="17" t="n">
        <f aca="false">G9-G19</f>
        <v>0</v>
      </c>
      <c r="H20" s="17" t="n">
        <f aca="false">H9-H19</f>
        <v>0</v>
      </c>
      <c r="I20" s="17" t="n">
        <f aca="false">I9-I19</f>
        <v>0</v>
      </c>
      <c r="J20" s="17" t="n">
        <f aca="false">J9-J19</f>
        <v>0</v>
      </c>
      <c r="K20" s="17" t="n">
        <f aca="false">K9-K19</f>
        <v>0</v>
      </c>
      <c r="L20" s="17" t="n">
        <f aca="false">L9-L19</f>
        <v>0</v>
      </c>
      <c r="M20" s="17" t="n">
        <f aca="false">M9-M19</f>
        <v>0</v>
      </c>
      <c r="N20" s="17" t="n">
        <f aca="false">N9-N19</f>
        <v>0</v>
      </c>
      <c r="O20" s="17" t="n">
        <f aca="false">O9-O19</f>
        <v>0</v>
      </c>
      <c r="P20" s="17" t="n">
        <f aca="false">P9-P19</f>
        <v>0</v>
      </c>
      <c r="Q20" s="17" t="n">
        <f aca="false">Q9-Q19</f>
        <v>0</v>
      </c>
      <c r="R20" s="17" t="n">
        <f aca="false">R9-R19</f>
        <v>0</v>
      </c>
      <c r="S20" s="17" t="n">
        <f aca="false">S9-S19</f>
        <v>0</v>
      </c>
      <c r="T20" s="17" t="n">
        <f aca="false">T9-T19</f>
        <v>0</v>
      </c>
      <c r="U20" s="17" t="n">
        <f aca="false">U9-U19</f>
        <v>0</v>
      </c>
      <c r="V20" s="17" t="n">
        <f aca="false">V9-V19</f>
        <v>0</v>
      </c>
      <c r="W20" s="17" t="n">
        <f aca="false">W9-W19</f>
        <v>0</v>
      </c>
      <c r="X20" s="17" t="n">
        <f aca="false">X9-X19</f>
        <v>0</v>
      </c>
      <c r="Y20" s="17" t="n">
        <f aca="false">Y9-Y19</f>
        <v>0</v>
      </c>
    </row>
    <row r="21" customFormat="false" ht="15" hidden="false" customHeight="true" outlineLevel="0" collapsed="false">
      <c r="A21" s="43" t="s">
        <v>257</v>
      </c>
    </row>
    <row r="22" customFormat="false" ht="15" hidden="false" customHeight="true" outlineLevel="0" collapsed="false">
      <c r="A22" s="43" t="s">
        <v>258</v>
      </c>
      <c r="C22" s="17" t="n">
        <f aca="false">'Income Statement'!C4</f>
        <v>77.2039</v>
      </c>
      <c r="D22" s="17" t="n">
        <f aca="false">C22+'Income Statement'!D4</f>
        <v>167.8479</v>
      </c>
      <c r="E22" s="17" t="n">
        <f aca="false">D22+'Income Statement'!E4</f>
        <v>275.0999</v>
      </c>
      <c r="F22" s="17" t="n">
        <f aca="false">E22+'Income Statement'!F4</f>
        <v>401.2846</v>
      </c>
      <c r="G22" s="17" t="n">
        <f aca="false">F22+'Income Statement'!G4</f>
        <v>550.2481</v>
      </c>
      <c r="H22" s="17" t="n">
        <f aca="false">G22+'Income Statement'!H4</f>
        <v>720.9833</v>
      </c>
      <c r="I22" s="17" t="n">
        <f aca="false">H22+'Income Statement'!I4</f>
        <v>911.9396</v>
      </c>
      <c r="J22" s="17" t="n">
        <f aca="false">I22+'Income Statement'!J4</f>
        <v>1055.841</v>
      </c>
      <c r="K22" s="17" t="n">
        <f aca="false">J22+'Income Statement'!K4</f>
        <v>1214.6064</v>
      </c>
      <c r="L22" s="17" t="n">
        <f aca="false">K22+'Income Statement'!L4</f>
        <v>1376.6845</v>
      </c>
      <c r="M22" s="17" t="n">
        <f aca="false">L22+'Income Statement'!M4</f>
        <v>1540.5639</v>
      </c>
      <c r="N22" s="17" t="n">
        <f aca="false">M22+'Income Statement'!N4</f>
        <v>1695.3657</v>
      </c>
      <c r="O22" s="17" t="n">
        <f aca="false">N22+'Income Statement'!O4</f>
        <v>1831.1062</v>
      </c>
      <c r="P22" s="17" t="n">
        <f aca="false">O22+'Income Statement'!P4</f>
        <v>1948.8919</v>
      </c>
      <c r="Q22" s="17" t="n">
        <f aca="false">P22+'Income Statement'!Q4</f>
        <v>2046.209</v>
      </c>
      <c r="R22" s="17" t="n">
        <f aca="false">Q22+'Income Statement'!R4</f>
        <v>2122.8111</v>
      </c>
      <c r="S22" s="17" t="n">
        <f aca="false">R22+'Income Statement'!S4</f>
        <v>2175.7981</v>
      </c>
      <c r="T22" s="17" t="n">
        <f aca="false">S22+'Income Statement'!T4</f>
        <v>2213.072</v>
      </c>
      <c r="U22" s="17" t="n">
        <f aca="false">T22+'Income Statement'!U4</f>
        <v>2232.433</v>
      </c>
      <c r="V22" s="17" t="n">
        <f aca="false">U22+'Income Statement'!V4</f>
        <v>2240.2828</v>
      </c>
      <c r="W22" s="17" t="n">
        <f aca="false">V22+'Income Statement'!W4</f>
        <v>2244.4645</v>
      </c>
      <c r="X22" s="17" t="n">
        <f aca="false">W22+'Income Statement'!X4</f>
        <v>2244.4645</v>
      </c>
      <c r="Y22" s="17" t="n">
        <f aca="false">X22+'Income Statement'!Y4</f>
        <v>2244.4645</v>
      </c>
    </row>
    <row r="23" customFormat="false" ht="15" hidden="false" customHeight="true" outlineLevel="0" collapsed="false">
      <c r="A23" s="43" t="s">
        <v>259</v>
      </c>
      <c r="C23" s="17" t="n">
        <f aca="false">'Project Cash Flows'!C6</f>
        <v>54.442</v>
      </c>
      <c r="D23" s="17" t="n">
        <f aca="false">C23+'Project Cash Flows'!D6</f>
        <v>119.8287</v>
      </c>
      <c r="E23" s="17" t="n">
        <f aca="false">D23+'Project Cash Flows'!E6</f>
        <v>198.9785</v>
      </c>
      <c r="F23" s="17" t="n">
        <f aca="false">E23+'Project Cash Flows'!F6</f>
        <v>293.9788</v>
      </c>
      <c r="G23" s="17" t="n">
        <f aca="false">F23+'Project Cash Flows'!G6</f>
        <v>408.2223</v>
      </c>
      <c r="H23" s="17" t="n">
        <f aca="false">G23+'Project Cash Flows'!H6</f>
        <v>543.1032</v>
      </c>
      <c r="I23" s="17" t="n">
        <f aca="false">H23+'Project Cash Flows'!I6</f>
        <v>700.0564</v>
      </c>
      <c r="J23" s="17" t="n">
        <f aca="false">I23+'Project Cash Flows'!J6</f>
        <v>833.9576</v>
      </c>
      <c r="K23" s="17" t="n">
        <f aca="false">J23+'Project Cash Flows'!K6</f>
        <v>991.6638</v>
      </c>
      <c r="L23" s="17" t="n">
        <f aca="false">K23+'Project Cash Flows'!L6</f>
        <v>1157.5784</v>
      </c>
      <c r="M23" s="17" t="n">
        <f aca="false">L23+'Project Cash Flows'!M6</f>
        <v>1328.0154</v>
      </c>
      <c r="N23" s="17" t="n">
        <f aca="false">M23+'Project Cash Flows'!N6</f>
        <v>1493.1879</v>
      </c>
      <c r="O23" s="17" t="n">
        <f aca="false">N23+'Project Cash Flows'!O6</f>
        <v>1643.1805</v>
      </c>
      <c r="P23" s="17" t="n">
        <f aca="false">O23+'Project Cash Flows'!P6</f>
        <v>1773.5332</v>
      </c>
      <c r="Q23" s="17" t="n">
        <f aca="false">P23+'Project Cash Flows'!Q6</f>
        <v>1883.1238</v>
      </c>
      <c r="R23" s="17" t="n">
        <f aca="false">Q23+'Project Cash Flows'!R6</f>
        <v>1970.4785</v>
      </c>
      <c r="S23" s="17" t="n">
        <f aca="false">R23+'Project Cash Flows'!S6</f>
        <v>2035.0324</v>
      </c>
      <c r="T23" s="17" t="n">
        <f aca="false">S23+'Project Cash Flows'!T6</f>
        <v>2075.6557</v>
      </c>
      <c r="U23" s="17" t="n">
        <f aca="false">T23+'Project Cash Flows'!U6</f>
        <v>2099.0856</v>
      </c>
      <c r="V23" s="17" t="n">
        <f aca="false">U23+'Project Cash Flows'!V6</f>
        <v>2107.0937</v>
      </c>
      <c r="W23" s="17" t="n">
        <f aca="false">V23+'Project Cash Flows'!W6</f>
        <v>2107.0937</v>
      </c>
      <c r="X23" s="17" t="n">
        <f aca="false">W23+'Project Cash Flows'!X6</f>
        <v>2107.0937</v>
      </c>
      <c r="Y23" s="17" t="n">
        <f aca="false">X23+'Project Cash Flows'!Y6</f>
        <v>2107.0937</v>
      </c>
    </row>
    <row r="24" customFormat="false" ht="15" hidden="false" customHeight="true" outlineLevel="0" collapsed="false">
      <c r="A24" s="43" t="s">
        <v>260</v>
      </c>
      <c r="C24" s="17" t="n">
        <f aca="false">Assumptions!$B$24+C22-C23</f>
        <v>97.2619</v>
      </c>
      <c r="D24" s="17" t="n">
        <f aca="false">Assumptions!$B$24+D22-D23</f>
        <v>122.5192</v>
      </c>
      <c r="E24" s="17" t="n">
        <f aca="false">Assumptions!$B$24+E22-E23</f>
        <v>150.6214</v>
      </c>
      <c r="F24" s="17" t="n">
        <f aca="false">Assumptions!$B$24+F22-F23</f>
        <v>181.8058</v>
      </c>
      <c r="G24" s="17" t="n">
        <f aca="false">Assumptions!$B$24+G22-G23</f>
        <v>216.5258</v>
      </c>
      <c r="H24" s="17" t="n">
        <f aca="false">Assumptions!$B$24+H22-H23</f>
        <v>252.3801</v>
      </c>
      <c r="I24" s="17" t="n">
        <f aca="false">Assumptions!$B$24+I22-I23</f>
        <v>286.3832</v>
      </c>
      <c r="J24" s="17" t="n">
        <f aca="false">Assumptions!$B$24+J22-J23</f>
        <v>296.3834</v>
      </c>
      <c r="K24" s="17" t="n">
        <f aca="false">Assumptions!$B$24+K22-K23</f>
        <v>297.4426</v>
      </c>
      <c r="L24" s="17" t="n">
        <f aca="false">Assumptions!$B$24+L22-L23</f>
        <v>293.6061</v>
      </c>
      <c r="M24" s="17" t="n">
        <f aca="false">Assumptions!$B$24+M22-M23</f>
        <v>287.0485</v>
      </c>
      <c r="N24" s="17" t="n">
        <f aca="false">Assumptions!$B$24+N22-N23</f>
        <v>276.6778</v>
      </c>
      <c r="O24" s="17" t="n">
        <f aca="false">Assumptions!$B$24+O22-O23</f>
        <v>262.4257</v>
      </c>
      <c r="P24" s="17" t="n">
        <f aca="false">Assumptions!$B$24+P22-P23</f>
        <v>249.8587</v>
      </c>
      <c r="Q24" s="17" t="n">
        <f aca="false">Assumptions!$B$24+Q22-Q23</f>
        <v>237.5852</v>
      </c>
      <c r="R24" s="17" t="n">
        <f aca="false">Assumptions!$B$24+R22-R23</f>
        <v>226.8326</v>
      </c>
      <c r="S24" s="17" t="n">
        <f aca="false">Assumptions!$B$24+S22-S23</f>
        <v>215.265699999999</v>
      </c>
      <c r="T24" s="17" t="n">
        <f aca="false">Assumptions!$B$24+T22-T23</f>
        <v>211.916299999999</v>
      </c>
      <c r="U24" s="17" t="n">
        <f aca="false">Assumptions!$B$24+U22-U23</f>
        <v>207.847399999999</v>
      </c>
      <c r="V24" s="17" t="n">
        <f aca="false">Assumptions!$B$24+V22-V23</f>
        <v>207.689099999999</v>
      </c>
      <c r="W24" s="17" t="n">
        <f aca="false">Assumptions!$B$24+W22-W23</f>
        <v>211.870799999999</v>
      </c>
      <c r="X24" s="17" t="n">
        <f aca="false">Assumptions!$B$24+X22-X23</f>
        <v>211.870799999999</v>
      </c>
      <c r="Y24" s="17" t="n">
        <f aca="false">Assumptions!$B$24+Y22-Y23</f>
        <v>211.870799999999</v>
      </c>
    </row>
    <row r="25" customFormat="false" ht="15" hidden="false" customHeight="true" outlineLevel="0" collapsed="false">
      <c r="A25" s="43" t="s">
        <v>261</v>
      </c>
      <c r="C25" s="17" t="n">
        <f aca="false">Assumptions!$B$23*MAX(0,1-C22/$C$26)</f>
        <v>159.324417472408</v>
      </c>
      <c r="D25" s="17" t="n">
        <f aca="false">Assumptions!$B$23*MAX(0,1-D22/$C$26)</f>
        <v>152.660796818127</v>
      </c>
      <c r="E25" s="17" t="n">
        <f aca="false">Assumptions!$B$23*MAX(0,1-E22/$C$26)</f>
        <v>144.776252420121</v>
      </c>
      <c r="F25" s="17" t="n">
        <f aca="false">Assumptions!$B$23*MAX(0,1-F22/$C$26)</f>
        <v>135.499885830228</v>
      </c>
      <c r="G25" s="17" t="n">
        <f aca="false">Assumptions!$B$23*MAX(0,1-G22/$C$26)</f>
        <v>124.548954104643</v>
      </c>
      <c r="H25" s="17" t="n">
        <f aca="false">Assumptions!$B$23*MAX(0,1-H22/$C$26)</f>
        <v>111.997493388735</v>
      </c>
      <c r="I25" s="17" t="n">
        <f aca="false">Assumptions!$B$23*MAX(0,1-I22/$C$26)</f>
        <v>97.9594947926332</v>
      </c>
      <c r="J25" s="17" t="n">
        <f aca="false">Assumptions!$B$23*MAX(0,1-J22/$C$26)</f>
        <v>87.3806992714743</v>
      </c>
      <c r="K25" s="17" t="n">
        <f aca="false">Assumptions!$B$23*MAX(0,1-K22/$C$26)</f>
        <v>75.7091887619519</v>
      </c>
      <c r="L25" s="17" t="n">
        <f aca="false">Assumptions!$B$23*MAX(0,1-L22/$C$26)</f>
        <v>63.7941477800161</v>
      </c>
      <c r="M25" s="17" t="n">
        <f aca="false">Assumptions!$B$23*MAX(0,1-M22/$C$26)</f>
        <v>51.7466856793681</v>
      </c>
      <c r="N25" s="17" t="n">
        <f aca="false">Assumptions!$B$23*MAX(0,1-N22/$C$26)</f>
        <v>40.3665560315166</v>
      </c>
      <c r="O25" s="17" t="n">
        <f aca="false">Assumptions!$B$23*MAX(0,1-O22/$C$26)</f>
        <v>30.3877025009752</v>
      </c>
      <c r="P25" s="17" t="n">
        <f aca="false">Assumptions!$B$23*MAX(0,1-P22/$C$26)</f>
        <v>21.7287816314315</v>
      </c>
      <c r="Q25" s="17" t="n">
        <f aca="false">Assumptions!$B$23*MAX(0,1-Q22/$C$26)</f>
        <v>14.5745934052421</v>
      </c>
      <c r="R25" s="17" t="n">
        <f aca="false">Assumptions!$B$23*MAX(0,1-R22/$C$26)</f>
        <v>8.9432517199537</v>
      </c>
      <c r="S25" s="17" t="n">
        <f aca="false">Assumptions!$B$23*MAX(0,1-S22/$C$26)</f>
        <v>5.04795509129238</v>
      </c>
      <c r="T25" s="17" t="n">
        <f aca="false">Assumptions!$B$23*MAX(0,1-T22/$C$26)</f>
        <v>2.30779435361976</v>
      </c>
      <c r="U25" s="17" t="n">
        <f aca="false">Assumptions!$B$23*MAX(0,1-U22/$C$26)</f>
        <v>0.884486032191646</v>
      </c>
      <c r="V25" s="17" t="n">
        <f aca="false">Assumptions!$B$23*MAX(0,1-V22/$C$26)</f>
        <v>0.307414307510772</v>
      </c>
      <c r="W25" s="17" t="n">
        <f aca="false">Assumptions!$B$23*MAX(0,1-W22/$C$26)</f>
        <v>0</v>
      </c>
      <c r="X25" s="17" t="n">
        <f aca="false">Assumptions!$B$23*MAX(0,1-X22/$C$26)</f>
        <v>0</v>
      </c>
      <c r="Y25" s="17" t="n">
        <f aca="false">Assumptions!$B$23*MAX(0,1-Y22/$C$26)</f>
        <v>0</v>
      </c>
    </row>
    <row r="26" customFormat="false" ht="15" hidden="false" customHeight="false" outlineLevel="0" collapsed="false">
      <c r="A26" s="1" t="s">
        <v>262</v>
      </c>
      <c r="C26" s="1" t="n">
        <f aca="false">SUM('Income Statement'!C4:Y4)</f>
        <v>2244.4645</v>
      </c>
    </row>
    <row r="27" customFormat="false" ht="15" hidden="false" customHeight="false" outlineLevel="0" collapsed="false">
      <c r="A27" s="1" t="s">
        <v>263</v>
      </c>
      <c r="C27" s="1" t="n">
        <f aca="false">('Project Cash Flows'!C8-'Project Cash Flows'!C9)-Assumptions!$B$23*('Income Statement'!C4/$C$26)</f>
        <v>12.4910174724082</v>
      </c>
      <c r="D27" s="1" t="n">
        <f aca="false">C27+('Project Cash Flows'!D8-'Project Cash Flows'!D9)-Assumptions!$B$23*('Income Statement'!D4/$C$26)</f>
        <v>31.2805968181274</v>
      </c>
      <c r="E27" s="1" t="n">
        <f aca="false">D27+('Project Cash Flows'!E8-'Project Cash Flows'!E9)-Assumptions!$B$23*('Income Statement'!E4/$C$26)</f>
        <v>58.2605524201207</v>
      </c>
      <c r="F27" s="1" t="n">
        <f aca="false">E27+('Project Cash Flows'!F8-'Project Cash Flows'!F9)-Assumptions!$B$23*('Income Statement'!F4/$C$26)</f>
        <v>94.5776858302281</v>
      </c>
      <c r="G27" s="1" t="n">
        <f aca="false">F27+('Project Cash Flows'!G8-'Project Cash Flows'!G9)-Assumptions!$B$23*('Income Statement'!G4/$C$26)</f>
        <v>142.521854104643</v>
      </c>
      <c r="H27" s="1" t="n">
        <f aca="false">G27+('Project Cash Flows'!H8-'Project Cash Flows'!H9)-Assumptions!$B$23*('Income Statement'!H4/$C$26)</f>
        <v>202.815293388735</v>
      </c>
      <c r="I27" s="1" t="n">
        <f aca="false">H27+('Project Cash Flows'!I8-'Project Cash Flows'!I9)-Assumptions!$B$23*('Income Statement'!I4/$C$26)</f>
        <v>276.027794792633</v>
      </c>
      <c r="J27" s="1" t="n">
        <f aca="false">I27+('Project Cash Flows'!J8-'Project Cash Flows'!J9)-Assumptions!$B$23*('Income Statement'!J4/$C$26)</f>
        <v>355.420199271474</v>
      </c>
      <c r="K27" s="1" t="n">
        <f aca="false">J27+('Project Cash Flows'!K8-'Project Cash Flows'!K9)-Assumptions!$B$23*('Income Statement'!K4/$C$26)</f>
        <v>446.422788761952</v>
      </c>
      <c r="L27" s="1" t="n">
        <f aca="false">K27+('Project Cash Flows'!L8-'Project Cash Flows'!L9)-Assumptions!$B$23*('Income Statement'!L4/$C$26)</f>
        <v>542.886547780016</v>
      </c>
      <c r="M27" s="1" t="n">
        <f aca="false">L27+('Project Cash Flows'!M8-'Project Cash Flows'!M9)-Assumptions!$B$23*('Income Statement'!M4/$C$26)</f>
        <v>642.987085679368</v>
      </c>
      <c r="N27" s="1" t="n">
        <f aca="false">M27+('Project Cash Flows'!N8-'Project Cash Flows'!N9)-Assumptions!$B$23*('Income Statement'!N4/$C$26)</f>
        <v>740.521456031517</v>
      </c>
      <c r="O27" s="1" t="n">
        <f aca="false">N27+('Project Cash Flows'!O8-'Project Cash Flows'!O9)-Assumptions!$B$23*('Income Statement'!O4/$C$26)</f>
        <v>827.485902500975</v>
      </c>
      <c r="P27" s="1" t="n">
        <f aca="false">O27+('Project Cash Flows'!P8-'Project Cash Flows'!P9)-Assumptions!$B$23*('Income Statement'!P4/$C$26)</f>
        <v>903.455181631431</v>
      </c>
      <c r="Q27" s="1" t="n">
        <f aca="false">P27+('Project Cash Flows'!Q8-'Project Cash Flows'!Q9)-Assumptions!$B$23*('Income Statement'!Q4/$C$26)</f>
        <v>966.889593405242</v>
      </c>
      <c r="R27" s="1" t="n">
        <f aca="false">Q27+('Project Cash Flows'!R8-'Project Cash Flows'!R9)-Assumptions!$B$23*('Income Statement'!R4/$C$26)</f>
        <v>1017.54085171995</v>
      </c>
      <c r="S27" s="1" t="n">
        <f aca="false">R27+('Project Cash Flows'!S8-'Project Cash Flows'!S9)-Assumptions!$B$23*('Income Statement'!S4/$C$26)</f>
        <v>1053.61905509129</v>
      </c>
      <c r="T27" s="1" t="n">
        <f aca="false">S27+('Project Cash Flows'!T8-'Project Cash Flows'!T9)-Assumptions!$B$23*('Income Statement'!T4/$C$26)</f>
        <v>1079.16399435362</v>
      </c>
      <c r="U27" s="1" t="n">
        <f aca="false">T27+('Project Cash Flows'!U8-'Project Cash Flows'!U9)-Assumptions!$B$23*('Income Statement'!U4/$C$26)</f>
        <v>1092.70068603219</v>
      </c>
      <c r="V27" s="1" t="n">
        <f aca="false">U27+('Project Cash Flows'!V8-'Project Cash Flows'!V9)-Assumptions!$B$23*('Income Statement'!V4/$C$26)</f>
        <v>1098.86651430751</v>
      </c>
      <c r="W27" s="1" t="n">
        <f aca="false">V27+('Project Cash Flows'!W8-'Project Cash Flows'!W9)-Assumptions!$B$23*('Income Statement'!W4/$C$26)</f>
        <v>1102.1511</v>
      </c>
      <c r="X27" s="1" t="n">
        <f aca="false">W27+('Project Cash Flows'!X8-'Project Cash Flows'!X9)-Assumptions!$B$23*('Income Statement'!X4/$C$26)</f>
        <v>1102.1511</v>
      </c>
      <c r="Y27" s="1" t="n">
        <f aca="false">X27+('Project Cash Flows'!Y8-'Project Cash Flows'!Y9)-Assumptions!$B$23*('Income Statement'!Y4/$C$26)</f>
        <v>1102.1511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2026-06-09T12:50:40Z</dcterms:created>
  <dc:creator>openpyxl</dc:creator>
  <dc:description/>
  <dc:language>en-US</dc:language>
  <cp:lastModifiedBy/>
  <dcterms:modified xsi:type="dcterms:W3CDTF">2026-06-19T16:25:10Z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